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6035" windowHeight="5895" tabRatio="603" activeTab="0"/>
  </bookViews>
  <sheets>
    <sheet name="Hovedark" sheetId="1" r:id="rId1"/>
    <sheet name="Moves and acts" sheetId="2" state="hidden" r:id="rId2"/>
    <sheet name="ac &amp; check-mod" sheetId="3" state="hidden" r:id="rId3"/>
    <sheet name="RAGE!" sheetId="4" r:id="rId4"/>
  </sheets>
  <definedNames>
    <definedName name="ac">'Hovedark'!$V$11</definedName>
    <definedName name="act">'Hovedark'!$V$13</definedName>
    <definedName name="acu">'Hovedark'!$V$12</definedName>
    <definedName name="armor1ac">'Hovedark'!$V$42</definedName>
    <definedName name="Armor1checkpen">'Hovedark'!$W$42</definedName>
    <definedName name="armor1maxdex">'Hovedark'!$T$42</definedName>
    <definedName name="armor1spellfail">'Hovedark'!$X$42</definedName>
    <definedName name="armor1type">'Hovedark'!$S$42</definedName>
    <definedName name="armor1wgt">'Hovedark'!$Z$42</definedName>
    <definedName name="armor2ac">'Hovedark'!$V$43</definedName>
    <definedName name="armor2acx">'Hovedark'!$V$43</definedName>
    <definedName name="Armor2checkpen">'Hovedark'!$W$43</definedName>
    <definedName name="Armor2dexmax">'Hovedark'!$T$43</definedName>
    <definedName name="Armor2maxdex">'Hovedark'!$T$43</definedName>
    <definedName name="armor2spellfail">'Hovedark'!$X$43</definedName>
    <definedName name="armor2type">'Hovedark'!$S$43</definedName>
    <definedName name="armor2typex">'Hovedark'!$S$43</definedName>
    <definedName name="armor2wgt">'Hovedark'!$Z$43</definedName>
    <definedName name="armor3ac">'Hovedark'!#REF!</definedName>
    <definedName name="armor3wgt">'Hovedark'!#REF!</definedName>
    <definedName name="armortype1">'Hovedark'!$S$42</definedName>
    <definedName name="cha">'Hovedark'!$B$16</definedName>
    <definedName name="chamod">'Hovedark'!$D$16</definedName>
    <definedName name="Chr_lvl">'Hovedark'!$R$5</definedName>
    <definedName name="Class1">'Hovedark'!$I$5</definedName>
    <definedName name="Class1_lvl">'Hovedark'!$K$5</definedName>
    <definedName name="Class2">'Hovedark'!$I$7</definedName>
    <definedName name="Class2_lvl">'Hovedark'!$K$7</definedName>
    <definedName name="con">'Hovedark'!$B$13</definedName>
    <definedName name="conmod">'Hovedark'!$D$13</definedName>
    <definedName name="conR">'RAGE!'!$C$13</definedName>
    <definedName name="conRmod">'RAGE!'!$E$13</definedName>
    <definedName name="dex">'Hovedark'!$B$12</definedName>
    <definedName name="dexF">'RAGE!'!$AF$12</definedName>
    <definedName name="dexFmod">'RAGE!'!$AH$12</definedName>
    <definedName name="dexmod">'Hovedark'!$D$12</definedName>
    <definedName name="dexR">'RAGE!'!$C$12</definedName>
    <definedName name="dexRmod">'RAGE!'!$E$12</definedName>
    <definedName name="FatigueAC">'RAGE!'!$BC$9</definedName>
    <definedName name="FHeavyweight">'RAGE!'!$AX$47</definedName>
    <definedName name="FLightweight">'RAGE!'!$AV$47</definedName>
    <definedName name="Fmediumweight">'RAGE!'!$AW$47</definedName>
    <definedName name="Fsave">'Hovedark'!$O$12</definedName>
    <definedName name="heavycheckpen">'Hovedark'!$T$51</definedName>
    <definedName name="heavymaxdex">'Hovedark'!$T$50</definedName>
    <definedName name="Heavyweight">'Hovedark'!$T$47</definedName>
    <definedName name="heavyweightstatus">'Hovedark'!$T$52</definedName>
    <definedName name="heavyweigt">'Hovedark'!#REF!</definedName>
    <definedName name="hp">'Hovedark'!$G$16</definedName>
    <definedName name="init">'Hovedark'!$V$17</definedName>
    <definedName name="int">'Hovedark'!$B$14</definedName>
    <definedName name="intmod">'Hovedark'!$D$14</definedName>
    <definedName name="level">'Hovedark'!$M$5</definedName>
    <definedName name="Lightweight">'Hovedark'!$R$47</definedName>
    <definedName name="lightweightstatus">'Hovedark'!$R$52</definedName>
    <definedName name="lvk">'Hovedark'!$M$5</definedName>
    <definedName name="lvl">'Hovedark'!#REF!</definedName>
    <definedName name="mediumcheckpen">'Hovedark'!$S$51</definedName>
    <definedName name="mediummaxdex">'Hovedark'!$S$50</definedName>
    <definedName name="Mediumweight">'Hovedark'!$S$47</definedName>
    <definedName name="mediumweightstatus">'Hovedark'!$S$52</definedName>
    <definedName name="mmod">'Hovedark'!$H$11</definedName>
    <definedName name="mRmod">'RAGE!'!$I$11</definedName>
    <definedName name="Navn">'Hovedark'!$C$3</definedName>
    <definedName name="rageAC">'RAGE!'!$Z$9</definedName>
    <definedName name="Rheavyweight">'RAGE!'!$U$47</definedName>
    <definedName name="Rlightweight">'RAGE!'!$S$47</definedName>
    <definedName name="Rmediumweight">'RAGE!'!$T$47</definedName>
    <definedName name="Rmediunweight">'RAGE!'!$T$47</definedName>
    <definedName name="rmod">'Hovedark'!$H$12</definedName>
    <definedName name="rRmod">'RAGE!'!$I$12</definedName>
    <definedName name="Rsave">'Hovedark'!$O$11</definedName>
    <definedName name="skil_lsn">'Hovedark'!$D$35</definedName>
    <definedName name="skill_app">'Hovedark'!$D$21</definedName>
    <definedName name="skill_bal">'Hovedark'!$D$22</definedName>
    <definedName name="skill_blf">'Hovedark'!$D$23</definedName>
    <definedName name="skill_clm">'Hovedark'!$D$24</definedName>
    <definedName name="skill_con">'Hovedark'!$D$25</definedName>
    <definedName name="skill_dip">'Hovedark'!$D$26</definedName>
    <definedName name="skill_dsg">'Hovedark'!$D$27</definedName>
    <definedName name="skill_esc">'Hovedark'!$D$28</definedName>
    <definedName name="skill_for">'Hovedark'!$D$29</definedName>
    <definedName name="skill_hea">'Hovedark'!$D$31</definedName>
    <definedName name="skill_hid">'Hovedark'!$D$32</definedName>
    <definedName name="skill_inf">'Hovedark'!$D$30</definedName>
    <definedName name="skill_int">'Hovedark'!$D$33</definedName>
    <definedName name="skill_jmp">'Hovedark'!$D$34</definedName>
    <definedName name="skill_lsn">'Hovedark'!$D$35</definedName>
    <definedName name="skill_mov">'Hovedark'!$D$36</definedName>
    <definedName name="skill_prf">'Hovedark'!$D$37</definedName>
    <definedName name="skill_rid">'Hovedark'!$D$38</definedName>
    <definedName name="skill_rpe">'Hovedark'!$D$44</definedName>
    <definedName name="skill_sch">'Hovedark'!$D$39</definedName>
    <definedName name="skill_sns">'Hovedark'!$D$40</definedName>
    <definedName name="skill_spt">'Hovedark'!$D$41</definedName>
    <definedName name="skill_srv">'Hovedark'!$D$42</definedName>
    <definedName name="skill_swm">'Hovedark'!$D$43</definedName>
    <definedName name="skill_tmb">'Hovedark'!$D$51</definedName>
    <definedName name="skll_sch">'Hovedark'!$D$39</definedName>
    <definedName name="str">'Hovedark'!$B$11</definedName>
    <definedName name="strF">'RAGE!'!$AF$11</definedName>
    <definedName name="strFmod">'RAGE!'!$AH$11</definedName>
    <definedName name="strmod">'Hovedark'!$D$11</definedName>
    <definedName name="strR">'RAGE!'!$C$11</definedName>
    <definedName name="strRmod">'RAGE!'!$E$11</definedName>
    <definedName name="sys">'Hovedark'!$G$17</definedName>
    <definedName name="totalweight">'Hovedark'!$Z$71</definedName>
    <definedName name="_xlnm.Print_Area" localSheetId="0">'Hovedark'!$A$1:$Z$71</definedName>
    <definedName name="_xlnm.Print_Area" localSheetId="1">'Moves and acts'!$A$1:$S$42</definedName>
    <definedName name="_xlnm.Print_Area" localSheetId="3">'RAGE!'!$A$1:$BE$72</definedName>
    <definedName name="wis">'Hovedark'!$B$15</definedName>
    <definedName name="wismod">'Hovedark'!$D$15</definedName>
    <definedName name="wp1attack">'Hovedark'!$V$25</definedName>
    <definedName name="wp1attbonus">'Hovedark'!$S$25</definedName>
    <definedName name="wp1dmg_bonus">'Hovedark'!$Y$25</definedName>
    <definedName name="wp1dmg_dice">'Hovedark'!$X$25</definedName>
    <definedName name="wp1dmgbonus">'Hovedark'!$T$25</definedName>
    <definedName name="wp1name">'Hovedark'!$O$25</definedName>
    <definedName name="wp1type">'Hovedark'!$X$26</definedName>
    <definedName name="wp1wgt">'Hovedark'!$Z$26</definedName>
    <definedName name="wp2attack">'Hovedark'!$V$21</definedName>
    <definedName name="wp2attbonus">'Hovedark'!$S$21</definedName>
    <definedName name="wp2dmg_bonus">'Hovedark'!$Y$21</definedName>
    <definedName name="wp2dmg_dice">'Hovedark'!$X$21</definedName>
    <definedName name="wp2dmgbonus">'Hovedark'!$T$21</definedName>
    <definedName name="wp2type">'Hovedark'!$X$22</definedName>
    <definedName name="wp2wgt">'Hovedark'!$Z$22</definedName>
    <definedName name="wp3attack">'Hovedark'!$V$32</definedName>
    <definedName name="wp3attbonus">'Hovedark'!$S$32</definedName>
    <definedName name="wp3dmg_bonus">'Hovedark'!$Y$32</definedName>
    <definedName name="wp3dmg_dice">'Hovedark'!$X$32</definedName>
    <definedName name="wp3dmgbonus">'Hovedark'!$T$32</definedName>
    <definedName name="wp3type">'Hovedark'!$X$33</definedName>
    <definedName name="wp3wgt">'Hovedark'!$Z$33</definedName>
    <definedName name="wp4attack">'Hovedark'!$V$36</definedName>
    <definedName name="wp4attbonus">'Hovedark'!$S$36</definedName>
    <definedName name="wp4dmg_bonus">'Hovedark'!$Y$36</definedName>
    <definedName name="wp4dmg_dice">'Hovedark'!$X$36</definedName>
    <definedName name="wp4dmgbonus">'Hovedark'!$T$36</definedName>
    <definedName name="wp4type">'Hovedark'!$X$37</definedName>
    <definedName name="wp4wgt">'Hovedark'!$Z$37</definedName>
    <definedName name="Wsave">'Hovedark'!$O$13</definedName>
    <definedName name="xp">'Hovedark'!$P$5</definedName>
  </definedNames>
  <calcPr fullCalcOnLoad="1"/>
</workbook>
</file>

<file path=xl/comments1.xml><?xml version="1.0" encoding="utf-8"?>
<comments xmlns="http://schemas.openxmlformats.org/spreadsheetml/2006/main">
  <authors>
    <author>?jvind Borggreen</author>
    <author>?jvind</author>
  </authors>
  <commentList>
    <comment ref="X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F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Y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Q52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Q47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Y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32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36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30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A67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1.lvl. Ord. Feat</t>
        </r>
      </text>
    </comment>
    <comment ref="A70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3.lvl ord feat</t>
        </r>
      </text>
    </comment>
  </commentList>
</comments>
</file>

<file path=xl/comments4.xml><?xml version="1.0" encoding="utf-8"?>
<comments xmlns="http://schemas.openxmlformats.org/spreadsheetml/2006/main">
  <authors>
    <author>?jvind Borggreen</author>
    <author>?jvind</author>
  </authors>
  <commentList>
    <comment ref="Y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G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I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Z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Z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Z32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Z36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R47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R52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Z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B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AJ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AL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BC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C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C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C30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C32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BC36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AU47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AU52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B70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3.lvl ord feat</t>
        </r>
      </text>
    </comment>
    <comment ref="AE70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3.lvl ord feat</t>
        </r>
      </text>
    </comment>
  </commentList>
</comments>
</file>

<file path=xl/sharedStrings.xml><?xml version="1.0" encoding="utf-8"?>
<sst xmlns="http://schemas.openxmlformats.org/spreadsheetml/2006/main" count="852" uniqueCount="294">
  <si>
    <t>Level:</t>
  </si>
  <si>
    <t>Base</t>
  </si>
  <si>
    <t>Ability</t>
  </si>
  <si>
    <t>Score</t>
  </si>
  <si>
    <t>Bonus</t>
  </si>
  <si>
    <t>tmp</t>
  </si>
  <si>
    <t>Mod</t>
  </si>
  <si>
    <t>STR</t>
  </si>
  <si>
    <t>DEX</t>
  </si>
  <si>
    <t>CON</t>
  </si>
  <si>
    <t>INT</t>
  </si>
  <si>
    <t>WIS</t>
  </si>
  <si>
    <t>CHA</t>
  </si>
  <si>
    <t>Reflex</t>
  </si>
  <si>
    <t>Save</t>
  </si>
  <si>
    <t>Misc</t>
  </si>
  <si>
    <t>Total</t>
  </si>
  <si>
    <t>Initiative</t>
  </si>
  <si>
    <t>AC</t>
  </si>
  <si>
    <t>Armor</t>
  </si>
  <si>
    <t>Ranged</t>
  </si>
  <si>
    <t>Balance</t>
  </si>
  <si>
    <t>Bluff</t>
  </si>
  <si>
    <t>Gather info</t>
  </si>
  <si>
    <t>Concentration</t>
  </si>
  <si>
    <t>Diplomacy</t>
  </si>
  <si>
    <t>Disguise</t>
  </si>
  <si>
    <t>Escape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</si>
  <si>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</si>
  <si>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</si>
  <si>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</si>
  <si>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</si>
  <si>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</si>
  <si>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</si>
  <si>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</si>
  <si>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</si>
  <si>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</si>
  <si>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</si>
  <si>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</si>
  <si>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</si>
  <si>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</si>
  <si>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Move</t>
  </si>
  <si>
    <t>Run</t>
  </si>
  <si>
    <t>Weight</t>
  </si>
  <si>
    <t>Light</t>
  </si>
  <si>
    <t>Heavy</t>
  </si>
  <si>
    <t>HP</t>
  </si>
  <si>
    <t>SYS</t>
  </si>
  <si>
    <t>Attack</t>
  </si>
  <si>
    <t>Crit:</t>
  </si>
  <si>
    <t>Size</t>
  </si>
  <si>
    <t>feats:</t>
  </si>
  <si>
    <t>Weight:</t>
  </si>
  <si>
    <t>Abil</t>
  </si>
  <si>
    <t>Int</t>
  </si>
  <si>
    <t>Cha</t>
  </si>
  <si>
    <t>Con</t>
  </si>
  <si>
    <t>Dex</t>
  </si>
  <si>
    <t>Wis</t>
  </si>
  <si>
    <t>Remark</t>
  </si>
  <si>
    <t>Str</t>
  </si>
  <si>
    <t>Total carried</t>
  </si>
  <si>
    <t>Dex max</t>
  </si>
  <si>
    <t>Spell fail</t>
  </si>
  <si>
    <t>Check</t>
  </si>
  <si>
    <t>Wp &amp; armor:</t>
  </si>
  <si>
    <t>Feat</t>
  </si>
  <si>
    <t>Effect</t>
  </si>
  <si>
    <t>med</t>
  </si>
  <si>
    <t>x4</t>
  </si>
  <si>
    <t>x3</t>
  </si>
  <si>
    <t>Damage</t>
  </si>
  <si>
    <t>Equipment</t>
  </si>
  <si>
    <t>XP:</t>
  </si>
  <si>
    <t>Næste lvl:</t>
  </si>
  <si>
    <t>Sprog:</t>
  </si>
  <si>
    <t>Size:</t>
  </si>
  <si>
    <t>Medium</t>
  </si>
  <si>
    <t>type*</t>
  </si>
  <si>
    <t>* Type: L = Light, M = Medium, H = Heavy, S = Shield, N = Non-armor</t>
  </si>
  <si>
    <t>Forgery</t>
  </si>
  <si>
    <t>Climb</t>
  </si>
  <si>
    <t>Ranks</t>
  </si>
  <si>
    <t>Ability mod</t>
  </si>
  <si>
    <t>Padded</t>
  </si>
  <si>
    <t>Leather</t>
  </si>
  <si>
    <t>Stud. Leather</t>
  </si>
  <si>
    <t>Chain Shirt</t>
  </si>
  <si>
    <t>Breastplate</t>
  </si>
  <si>
    <t>Splint mail</t>
  </si>
  <si>
    <t>Chain mail</t>
  </si>
  <si>
    <t>Scale mail</t>
  </si>
  <si>
    <t>Bandet mail</t>
  </si>
  <si>
    <t>Half-plate</t>
  </si>
  <si>
    <t>Full plate</t>
  </si>
  <si>
    <t>Small shield</t>
  </si>
  <si>
    <t>Armor bonus</t>
  </si>
  <si>
    <t>Max dex. Bonus</t>
  </si>
  <si>
    <t>Check penalty</t>
  </si>
  <si>
    <t>Spell failure</t>
  </si>
  <si>
    <t>Speed mod</t>
  </si>
  <si>
    <t>Lift over head</t>
  </si>
  <si>
    <t>Lift over Ground</t>
  </si>
  <si>
    <t>Push or drag</t>
  </si>
  <si>
    <t>Max dex</t>
  </si>
  <si>
    <t>Check pen</t>
  </si>
  <si>
    <t>Speed</t>
  </si>
  <si>
    <t xml:space="preserve"> base 30</t>
  </si>
  <si>
    <t xml:space="preserve"> Base 20</t>
  </si>
  <si>
    <t>dex</t>
  </si>
  <si>
    <t>Hvis</t>
  </si>
  <si>
    <t>dexmod</t>
  </si>
  <si>
    <t>mediummaxdek</t>
  </si>
  <si>
    <t>heavymaxdex</t>
  </si>
  <si>
    <t>heavymaxdek</t>
  </si>
  <si>
    <t>AC-modify</t>
  </si>
  <si>
    <t>Skill check pen</t>
  </si>
  <si>
    <t>weight pen.</t>
  </si>
  <si>
    <t>(armor1maxdex+armor2maxdex)</t>
  </si>
  <si>
    <t>Skill-weigth-penalty</t>
  </si>
  <si>
    <t>range</t>
  </si>
  <si>
    <t>armortype1=N</t>
  </si>
  <si>
    <t>totalweight&lt;lightweight</t>
  </si>
  <si>
    <t>totalweight&lt;mediumweight</t>
  </si>
  <si>
    <t>mediummaxdex&lt;dexmod</t>
  </si>
  <si>
    <t>heavymaxdex&lt;dexmod</t>
  </si>
  <si>
    <t>(armor1maxdex+armor2maxdex)&lt;dexmod</t>
  </si>
  <si>
    <t>mediummaxdex&lt;(armor1maxdex+armor2maxdex)</t>
  </si>
  <si>
    <t>heavymaxdex&lt;(armor1maxdex+armor2maxdex)</t>
  </si>
  <si>
    <t>ph.</t>
  </si>
  <si>
    <t>Syn</t>
  </si>
  <si>
    <t>armor1checkpen+armor2checkpen</t>
  </si>
  <si>
    <t>heavycheckpen;</t>
  </si>
  <si>
    <t>(totalweight&lt;lightweight;</t>
  </si>
  <si>
    <t>0;</t>
  </si>
  <si>
    <t>(totalweight&lt;mediumweight;</t>
  </si>
  <si>
    <t>mediumcheckpen;</t>
  </si>
  <si>
    <t>heavycheckpen));</t>
  </si>
  <si>
    <t>armor2checkpen;</t>
  </si>
  <si>
    <t>(mediumcheckpen&lt;armor2checkpen;</t>
  </si>
  <si>
    <t>(heavycheckpen&lt;armor2checkpen;</t>
  </si>
  <si>
    <t>(armor1checkpen+armor2checkpen);</t>
  </si>
  <si>
    <t>(mediumcheckpen&lt;(armor1checkpen+armor2checkpen);</t>
  </si>
  <si>
    <t>(heavycheckpen&lt;(armor1checkpen+armor2checkpen);</t>
  </si>
  <si>
    <t>(armor1type=N;</t>
  </si>
  <si>
    <t>(armor2type=N;</t>
  </si>
  <si>
    <t>armor2checkpen);</t>
  </si>
  <si>
    <t>armor2checkpen))));</t>
  </si>
  <si>
    <t>armor1checkpen+armor2checkpen);</t>
  </si>
  <si>
    <t>(mediumcheckpen);</t>
  </si>
  <si>
    <t>armor1checkpen+armor2checkpen))))</t>
  </si>
  <si>
    <t>(heavycheckpen);</t>
  </si>
  <si>
    <t>Sum</t>
  </si>
  <si>
    <t>Vægt status</t>
  </si>
  <si>
    <t>Appraise</t>
  </si>
  <si>
    <t>Survival</t>
  </si>
  <si>
    <t>AC alm.</t>
  </si>
  <si>
    <t>AC uberedt</t>
  </si>
  <si>
    <t>AC touch</t>
  </si>
  <si>
    <t>Misc.</t>
  </si>
  <si>
    <t>Armour</t>
  </si>
  <si>
    <t>Andet:</t>
  </si>
  <si>
    <t>BAB</t>
  </si>
  <si>
    <t>Attack bonus</t>
  </si>
  <si>
    <t>Dmg bonus</t>
  </si>
  <si>
    <t>Type*:</t>
  </si>
  <si>
    <t>Våben/feat afh.:</t>
  </si>
  <si>
    <t xml:space="preserve">* Type: M = melee; P = projectile; T = thrown </t>
  </si>
  <si>
    <t>M</t>
  </si>
  <si>
    <t>Race</t>
  </si>
  <si>
    <t>Character level:</t>
  </si>
  <si>
    <t>Classes:</t>
  </si>
  <si>
    <t>Beregnet:</t>
  </si>
  <si>
    <t>Beregnet max.total:</t>
  </si>
  <si>
    <t>19-20/x2</t>
  </si>
  <si>
    <t>d6</t>
  </si>
  <si>
    <t>L</t>
  </si>
  <si>
    <t>Lampe, olie, flint</t>
  </si>
  <si>
    <t>Forklaringer:</t>
  </si>
  <si>
    <t>Backpack</t>
  </si>
  <si>
    <t>Bedroll</t>
  </si>
  <si>
    <t>Waterskin</t>
  </si>
  <si>
    <t>N</t>
  </si>
  <si>
    <t>AC Best*</t>
  </si>
  <si>
    <t>Don: 1min (5 r)</t>
  </si>
  <si>
    <t>+2 from Use Rope if esc. from ropes</t>
  </si>
  <si>
    <t>+2 from Esc.art. if binding</t>
  </si>
  <si>
    <t>Re-hide</t>
  </si>
  <si>
    <t>Overrun - knock prone</t>
  </si>
  <si>
    <t>+2 from Use Rope if rope</t>
  </si>
  <si>
    <t>Anders Faber</t>
  </si>
  <si>
    <t>Dwarf</t>
  </si>
  <si>
    <t>Scram</t>
  </si>
  <si>
    <t>Short sword</t>
  </si>
  <si>
    <t xml:space="preserve">Max ranks pr.brbr-skill: </t>
  </si>
  <si>
    <t>Pirat stamdata - Savage Tide</t>
  </si>
  <si>
    <t xml:space="preserve">Maritime bonus: </t>
  </si>
  <si>
    <t>d10</t>
  </si>
  <si>
    <t>P</t>
  </si>
  <si>
    <t>*) Total defense: No Attack!</t>
  </si>
  <si>
    <r>
      <t>AC Def.</t>
    </r>
    <r>
      <rPr>
        <b/>
        <vertAlign val="superscript"/>
        <sz val="12"/>
        <rFont val="ProseAntique"/>
        <family val="0"/>
      </rPr>
      <t>1</t>
    </r>
    <r>
      <rPr>
        <b/>
        <sz val="12"/>
        <rFont val="ProseAntique"/>
        <family val="4"/>
      </rPr>
      <t xml:space="preserve"> </t>
    </r>
  </si>
  <si>
    <t>1) Fight defensive:+2 AC, men  -4 til Attack</t>
  </si>
  <si>
    <t>Darkvision</t>
  </si>
  <si>
    <t>Se i mørke 60' (sort/hvid)</t>
  </si>
  <si>
    <t>Stonecunning</t>
  </si>
  <si>
    <t>+</t>
  </si>
  <si>
    <t>Bonus til Search efter specielle features i sten:</t>
  </si>
  <si>
    <t>Stability</t>
  </si>
  <si>
    <t>Bonus mod bull-rush, trip, waves ect.</t>
  </si>
  <si>
    <t xml:space="preserve">Melee </t>
  </si>
  <si>
    <t>Barbar</t>
  </si>
  <si>
    <t>Flamsk, Dwarf, Ol</t>
  </si>
  <si>
    <t>Racical bonusses</t>
  </si>
  <si>
    <t>Save bonus vs gift, spells &amp; spell-like abilities</t>
  </si>
  <si>
    <r>
      <t>Will</t>
    </r>
    <r>
      <rPr>
        <b/>
        <vertAlign val="superscript"/>
        <sz val="12"/>
        <rFont val="Arial"/>
        <family val="2"/>
      </rPr>
      <t>2</t>
    </r>
  </si>
  <si>
    <r>
      <t>Fortitude</t>
    </r>
    <r>
      <rPr>
        <b/>
        <vertAlign val="superscript"/>
        <sz val="12"/>
        <rFont val="Arial"/>
        <family val="2"/>
      </rPr>
      <t>2</t>
    </r>
  </si>
  <si>
    <t>2) +2 mod Gift &amp; spells (racial bonus)</t>
  </si>
  <si>
    <t>Attach mod Orcs, Goblin, Hobgoblin, Bugbear osv.</t>
  </si>
  <si>
    <t xml:space="preserve">Dodge bonus mod kæmper (Ogres, trolls, giants,  </t>
  </si>
  <si>
    <r>
      <t>AC Dodge</t>
    </r>
    <r>
      <rPr>
        <b/>
        <vertAlign val="superscript"/>
        <sz val="12"/>
        <rFont val="Arial Narrow"/>
        <family val="2"/>
      </rPr>
      <t>3</t>
    </r>
  </si>
  <si>
    <t>3) racial bonus vs kæmper!</t>
  </si>
  <si>
    <t>Craft (stone)</t>
  </si>
  <si>
    <t>Læse/skrive</t>
  </si>
  <si>
    <t>Barbar krav!</t>
  </si>
  <si>
    <t>Rage!</t>
  </si>
  <si>
    <t>RAGE STATISTICS!</t>
  </si>
  <si>
    <t xml:space="preserve">Ranks pr lvl, brb: </t>
  </si>
  <si>
    <t>Total ranks brugt:</t>
  </si>
  <si>
    <t>ph 25</t>
  </si>
  <si>
    <t>Pirat</t>
  </si>
  <si>
    <t>Two weapon fight</t>
  </si>
  <si>
    <t>Lavere  straf for 2-hånds-kamp</t>
  </si>
  <si>
    <t>-</t>
  </si>
  <si>
    <t>Grapple</t>
  </si>
  <si>
    <t>ph 160</t>
  </si>
  <si>
    <t>Kombi</t>
  </si>
  <si>
    <t>Kræver full round</t>
  </si>
  <si>
    <t>Char.points</t>
  </si>
  <si>
    <t>gange pr. dag.</t>
  </si>
  <si>
    <t>gang pr. kamp</t>
  </si>
  <si>
    <t xml:space="preserve">Varighed: </t>
  </si>
  <si>
    <t>runder. Kan standses med vilje.</t>
  </si>
  <si>
    <t>Giver:</t>
  </si>
  <si>
    <t>+ 4 til Str, +4 til con, +2 til Will save</t>
  </si>
  <si>
    <t>og</t>
  </si>
  <si>
    <r>
      <t>midlertidige HP</t>
    </r>
    <r>
      <rPr>
        <sz val="9"/>
        <rFont val="Arial"/>
        <family val="2"/>
      </rPr>
      <t xml:space="preserve">, som forsvinder </t>
    </r>
  </si>
  <si>
    <t>igen efter raseriet</t>
  </si>
  <si>
    <t>men</t>
  </si>
  <si>
    <r>
      <t>-2 til AC</t>
    </r>
    <r>
      <rPr>
        <sz val="9"/>
        <rFont val="Arial"/>
        <family val="2"/>
      </rPr>
      <t>, og man kan ikke bruge:</t>
    </r>
  </si>
  <si>
    <r>
      <t xml:space="preserve">Efter raseri </t>
    </r>
    <r>
      <rPr>
        <sz val="9"/>
        <rFont val="Arial"/>
        <family val="2"/>
      </rPr>
      <t xml:space="preserve">er man </t>
    </r>
    <r>
      <rPr>
        <b/>
        <sz val="9"/>
        <rFont val="Arial"/>
        <family val="2"/>
      </rPr>
      <t>træt</t>
    </r>
    <r>
      <rPr>
        <sz val="9"/>
        <rFont val="Arial"/>
        <family val="2"/>
      </rPr>
      <t xml:space="preserve"> (fatigued)</t>
    </r>
  </si>
  <si>
    <t>lige så længe som kampen har varet</t>
  </si>
  <si>
    <r>
      <t xml:space="preserve">Det giver </t>
    </r>
    <r>
      <rPr>
        <b/>
        <sz val="9"/>
        <rFont val="Arial"/>
        <family val="2"/>
      </rPr>
      <t>-2 til Str. -2 til Dex.</t>
    </r>
    <r>
      <rPr>
        <sz val="9"/>
        <rFont val="Arial"/>
        <family val="2"/>
      </rPr>
      <t xml:space="preserve"> </t>
    </r>
  </si>
  <si>
    <t>Og kan ikke løbe eller charge.</t>
  </si>
  <si>
    <t>skills (Cha, Dex, eller Int.,), Consentration</t>
  </si>
  <si>
    <t>Se Box på Rage-ark</t>
  </si>
  <si>
    <t>Eller remser og genstande der kræver aktivering</t>
  </si>
  <si>
    <t>FATIGUE STATISTICS!</t>
  </si>
  <si>
    <t>Prof. (Sailor)</t>
  </si>
  <si>
    <t>Prof. (Whaler)</t>
  </si>
  <si>
    <t>Harpun</t>
  </si>
  <si>
    <t>T</t>
  </si>
  <si>
    <t>x2</t>
  </si>
  <si>
    <t xml:space="preserve">Sidder fast i fjende = ½ speed, ikke løbe. Fjerne m. samme dmg. Hvis reb da max 30 fod.  </t>
  </si>
  <si>
    <t>OBS!</t>
  </si>
  <si>
    <t>Uncanny Dodge</t>
  </si>
  <si>
    <t>Bliver ikke flatfooted</t>
  </si>
  <si>
    <t>opdateret</t>
  </si>
  <si>
    <t>+1 GreatClub</t>
  </si>
  <si>
    <t>+1 rep. Crossbow</t>
  </si>
  <si>
    <t>5 skud pr. magasin, lade = free action. Nyt magasin = full round action + frit hug.</t>
  </si>
  <si>
    <t>Belt of OgrePower +2</t>
  </si>
  <si>
    <t>+1 Chainshirt</t>
  </si>
  <si>
    <t>Potium, cure moderate (2d8+3)</t>
  </si>
  <si>
    <t>Trapsense</t>
  </si>
  <si>
    <t>til R-save og AC mod traps</t>
  </si>
  <si>
    <t>+1</t>
  </si>
  <si>
    <t>2) +2 mod Gift &amp; spells (racial bonus)
4) +1 mod traps</t>
  </si>
  <si>
    <r>
      <t>Reflex</t>
    </r>
    <r>
      <rPr>
        <b/>
        <vertAlign val="superscript"/>
        <sz val="12"/>
        <rFont val="Arial"/>
        <family val="2"/>
      </rPr>
      <t>4</t>
    </r>
  </si>
  <si>
    <t>68 gift-bolts</t>
  </si>
  <si>
    <t>Swimming potium</t>
  </si>
  <si>
    <t>Power attack</t>
  </si>
  <si>
    <t xml:space="preserve">Træk op til </t>
  </si>
  <si>
    <t>fra attack og læg det til skade. OBS x2 ved to-håndsvåben</t>
  </si>
  <si>
    <r>
      <t>To-hånds, Fuldt PowerAttack:</t>
    </r>
    <r>
      <rPr>
        <b/>
        <sz val="8"/>
        <rFont val="Arial Narrow"/>
        <family val="2"/>
      </rPr>
      <t xml:space="preserve"> 6 attack, d10+12 dmg. </t>
    </r>
  </si>
  <si>
    <r>
      <t>To-hånds, Fuldt PowerAttack:</t>
    </r>
    <r>
      <rPr>
        <b/>
        <sz val="8"/>
        <rFont val="Arial Narrow"/>
        <family val="2"/>
      </rPr>
      <t xml:space="preserve"> 8 attack, d10+14 dmg. </t>
    </r>
  </si>
  <si>
    <t>02.10.08</t>
  </si>
  <si>
    <t>+1 Scimitar</t>
  </si>
  <si>
    <t>18-20/x2</t>
  </si>
  <si>
    <t>Ring of protection +1</t>
  </si>
  <si>
    <t>Bag of Holding (250 lb.)</t>
  </si>
  <si>
    <t>Knive og glasperler</t>
  </si>
  <si>
    <t>OBS - uden løbestart</t>
  </si>
  <si>
    <t>Guld:</t>
  </si>
  <si>
    <t>61 gp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</si>
</sst>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000000E+00"/>
    <numFmt numFmtId="173" formatCode="0.0000000000E+00"/>
    <numFmt numFmtId="174" formatCode="0.00000000000E+00"/>
    <numFmt numFmtId="175" formatCode="0.000000000000E+00"/>
    <numFmt numFmtId="176" formatCode="0.0000000000000E+00"/>
    <numFmt numFmtId="177" formatCode="0.00000000000000E+00"/>
    <numFmt numFmtId="178" formatCode="0.000000000000000E+00"/>
    <numFmt numFmtId="179" formatCode="0.0000000000000000E+00"/>
    <numFmt numFmtId="180" formatCode="0.00000000000000000E+00"/>
    <numFmt numFmtId="181" formatCode="0.000000000000000000E+00"/>
    <numFmt numFmtId="182" formatCode="0.0000000000000000000E+00"/>
    <numFmt numFmtId="183" formatCode="0.00000000000000000000E+00"/>
  </numFmts>
  <fonts count="70">
    <font>
      <b/>
      <sz val="12"/>
      <name val="ProseAntique"/>
      <family val="4"/>
    </font>
    <font>
      <sz val="10"/>
      <name val="Arial"/>
      <family val="0"/>
    </font>
    <font>
      <sz val="10"/>
      <name val="ProseAntique"/>
      <family val="4"/>
    </font>
    <font>
      <b/>
      <sz val="12"/>
      <name val="Technical"/>
      <family val="4"/>
    </font>
    <font>
      <sz val="8"/>
      <name val="Technical"/>
      <family val="4"/>
    </font>
    <font>
      <sz val="10"/>
      <name val="Technical"/>
      <family val="4"/>
    </font>
    <font>
      <sz val="12"/>
      <name val="Technical"/>
      <family val="4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echnical"/>
      <family val="4"/>
    </font>
    <font>
      <b/>
      <sz val="12"/>
      <color indexed="8"/>
      <name val="ProseAntique"/>
      <family val="4"/>
    </font>
    <font>
      <sz val="12"/>
      <name val="ProseAntique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ProseAntique"/>
      <family val="0"/>
    </font>
    <font>
      <i/>
      <sz val="8"/>
      <name val="Arial"/>
      <family val="2"/>
    </font>
    <font>
      <i/>
      <sz val="8"/>
      <name val="Technical"/>
      <family val="4"/>
    </font>
    <font>
      <b/>
      <sz val="10"/>
      <name val="ProseAntique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echnical"/>
      <family val="0"/>
    </font>
    <font>
      <sz val="12"/>
      <name val="Arial"/>
      <family val="2"/>
    </font>
    <font>
      <sz val="8"/>
      <name val="Arial Narrow"/>
      <family val="2"/>
    </font>
    <font>
      <b/>
      <sz val="48"/>
      <color indexed="10"/>
      <name val="Arial"/>
      <family val="2"/>
    </font>
    <font>
      <i/>
      <sz val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b/>
      <sz val="16"/>
      <name val="Arial"/>
      <family val="2"/>
    </font>
    <font>
      <b/>
      <sz val="8"/>
      <name val="ProseAntique"/>
      <family val="4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ProseAntique"/>
      <family val="4"/>
    </font>
    <font>
      <sz val="9"/>
      <name val="Arial Narrow"/>
      <family val="2"/>
    </font>
    <font>
      <sz val="12"/>
      <name val="Arial Narrow"/>
      <family val="2"/>
    </font>
    <font>
      <sz val="9"/>
      <color indexed="20"/>
      <name val="Arial Narrow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echnical"/>
      <family val="4"/>
    </font>
    <font>
      <sz val="11"/>
      <name val="Arial Narrow"/>
      <family val="2"/>
    </font>
    <font>
      <b/>
      <sz val="10"/>
      <color indexed="20"/>
      <name val="Arial"/>
      <family val="2"/>
    </font>
    <font>
      <sz val="8"/>
      <name val="ProseAntique"/>
      <family val="0"/>
    </font>
    <font>
      <b/>
      <u val="single"/>
      <sz val="9"/>
      <color indexed="12"/>
      <name val="ProseAntique"/>
      <family val="4"/>
    </font>
    <font>
      <b/>
      <u val="single"/>
      <sz val="9"/>
      <color indexed="36"/>
      <name val="ProseAntique"/>
      <family val="4"/>
    </font>
    <font>
      <b/>
      <vertAlign val="superscript"/>
      <sz val="12"/>
      <name val="ProseAntique"/>
      <family val="0"/>
    </font>
    <font>
      <sz val="8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Narrow"/>
      <family val="2"/>
    </font>
    <font>
      <b/>
      <i/>
      <sz val="12"/>
      <name val="ProseAntique"/>
      <family val="0"/>
    </font>
    <font>
      <i/>
      <sz val="10"/>
      <color indexed="8"/>
      <name val="Arial"/>
      <family val="2"/>
    </font>
    <font>
      <u val="single"/>
      <sz val="9"/>
      <name val="Arial"/>
      <family val="2"/>
    </font>
    <font>
      <b/>
      <sz val="12"/>
      <color indexed="48"/>
      <name val="Arial"/>
      <family val="2"/>
    </font>
    <font>
      <b/>
      <strike/>
      <sz val="12"/>
      <name val="Arial Narrow"/>
      <family val="2"/>
    </font>
    <font>
      <strike/>
      <sz val="12"/>
      <name val="ProseAntique"/>
      <family val="0"/>
    </font>
    <font>
      <b/>
      <strike/>
      <sz val="12"/>
      <name val="Arial"/>
      <family val="2"/>
    </font>
    <font>
      <strike/>
      <sz val="10"/>
      <name val="Arial"/>
      <family val="2"/>
    </font>
    <font>
      <strike/>
      <sz val="10"/>
      <name val="Technical"/>
      <family val="4"/>
    </font>
    <font>
      <b/>
      <strike/>
      <sz val="12"/>
      <name val="ProseAntique"/>
      <family val="4"/>
    </font>
    <font>
      <strike/>
      <sz val="8"/>
      <name val="Arial Narrow"/>
      <family val="2"/>
    </font>
    <font>
      <b/>
      <sz val="9"/>
      <color indexed="4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48"/>
      </diagonal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medium">
        <color indexed="48"/>
      </diagonal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9" fontId="6" fillId="0" borderId="0" xfId="2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Border="1" applyAlignment="1" quotePrefix="1">
      <alignment vertical="center"/>
    </xf>
    <xf numFmtId="0" fontId="3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9" fontId="6" fillId="0" borderId="0" xfId="2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/>
    </xf>
    <xf numFmtId="0" fontId="38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" fontId="20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3" borderId="0" xfId="0" applyFill="1" applyAlignment="1">
      <alignment vertical="center"/>
    </xf>
    <xf numFmtId="0" fontId="3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 quotePrefix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9" fontId="9" fillId="0" borderId="0" xfId="20" applyFont="1" applyFill="1" applyAlignment="1">
      <alignment horizontal="center" vertical="top" wrapText="1"/>
    </xf>
    <xf numFmtId="0" fontId="35" fillId="0" borderId="0" xfId="0" applyFont="1" applyFill="1" applyBorder="1" applyAlignment="1" quotePrefix="1">
      <alignment vertical="center"/>
    </xf>
    <xf numFmtId="0" fontId="28" fillId="2" borderId="0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2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4" fillId="0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 quotePrefix="1">
      <alignment horizontal="left" vertical="center"/>
    </xf>
    <xf numFmtId="0" fontId="47" fillId="0" borderId="0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7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9" fontId="9" fillId="0" borderId="0" xfId="20" applyFont="1" applyFill="1" applyBorder="1" applyAlignment="1">
      <alignment horizontal="center" vertical="top" wrapText="1"/>
    </xf>
    <xf numFmtId="0" fontId="9" fillId="0" borderId="5" xfId="0" applyFont="1" applyFill="1" applyBorder="1" applyAlignment="1" quotePrefix="1">
      <alignment horizontal="left" vertical="center"/>
    </xf>
    <xf numFmtId="0" fontId="27" fillId="0" borderId="4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36" fillId="0" borderId="2" xfId="0" applyFont="1" applyFill="1" applyBorder="1" applyAlignment="1">
      <alignment horizontal="right"/>
    </xf>
    <xf numFmtId="0" fontId="36" fillId="0" borderId="4" xfId="0" applyFont="1" applyFill="1" applyBorder="1" applyAlignment="1">
      <alignment horizontal="left"/>
    </xf>
    <xf numFmtId="0" fontId="46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vertical="center"/>
    </xf>
    <xf numFmtId="0" fontId="2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8" fillId="3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8" fillId="6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2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vertical="center"/>
    </xf>
    <xf numFmtId="0" fontId="8" fillId="5" borderId="51" xfId="0" applyFont="1" applyFill="1" applyBorder="1" applyAlignment="1">
      <alignment horizontal="right" vertical="center"/>
    </xf>
    <xf numFmtId="0" fontId="8" fillId="5" borderId="52" xfId="0" applyFont="1" applyFill="1" applyBorder="1" applyAlignment="1">
      <alignment horizontal="left" vertical="center"/>
    </xf>
    <xf numFmtId="0" fontId="0" fillId="5" borderId="51" xfId="0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0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8" fillId="0" borderId="3" xfId="0" applyFont="1" applyFill="1" applyBorder="1" applyAlignment="1" quotePrefix="1">
      <alignment vertical="center"/>
    </xf>
    <xf numFmtId="0" fontId="67" fillId="0" borderId="1" xfId="0" applyFont="1" applyBorder="1" applyAlignment="1">
      <alignment vertical="center"/>
    </xf>
    <xf numFmtId="0" fontId="0" fillId="0" borderId="3" xfId="0" applyBorder="1" applyAlignment="1" quotePrefix="1">
      <alignment vertical="center"/>
    </xf>
    <xf numFmtId="0" fontId="32" fillId="0" borderId="3" xfId="0" applyFont="1" applyFill="1" applyBorder="1" applyAlignment="1" quotePrefix="1">
      <alignment vertical="center"/>
    </xf>
    <xf numFmtId="0" fontId="0" fillId="0" borderId="0" xfId="0" applyAlignment="1" quotePrefix="1">
      <alignment horizontal="center" vertical="center"/>
    </xf>
    <xf numFmtId="0" fontId="67" fillId="0" borderId="1" xfId="0" applyFont="1" applyFill="1" applyBorder="1" applyAlignment="1">
      <alignment vertical="center"/>
    </xf>
    <xf numFmtId="0" fontId="68" fillId="0" borderId="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22" xfId="0" applyFont="1" applyFill="1" applyBorder="1" applyAlignment="1">
      <alignment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vertical="center"/>
    </xf>
    <xf numFmtId="0" fontId="8" fillId="5" borderId="39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vertical="center"/>
    </xf>
    <xf numFmtId="0" fontId="8" fillId="5" borderId="40" xfId="0" applyFont="1" applyFill="1" applyBorder="1" applyAlignment="1">
      <alignment horizontal="right" vertical="center"/>
    </xf>
    <xf numFmtId="0" fontId="8" fillId="5" borderId="41" xfId="0" applyFont="1" applyFill="1" applyBorder="1" applyAlignment="1">
      <alignment horizontal="left" vertical="center"/>
    </xf>
    <xf numFmtId="0" fontId="8" fillId="5" borderId="44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vertical="center"/>
    </xf>
    <xf numFmtId="0" fontId="8" fillId="5" borderId="45" xfId="0" applyFont="1" applyFill="1" applyBorder="1" applyAlignment="1">
      <alignment horizontal="right" vertical="center"/>
    </xf>
    <xf numFmtId="0" fontId="8" fillId="5" borderId="46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 quotePrefix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5E69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4E8B0"/>
      <rgbColor rgb="00CAC69C"/>
      <rgbColor rgb="00FFFFCC"/>
      <rgbColor rgb="00CCFFFF"/>
      <rgbColor rgb="00660066"/>
      <rgbColor rgb="00FF8080"/>
      <rgbColor rgb="000066CC"/>
      <rgbColor rgb="00CCCCFF"/>
      <rgbColor rgb="0063891F"/>
      <rgbColor rgb="000066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A1C53B"/>
      <rgbColor rgb="00C1BA8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5DBC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30</xdr:row>
      <xdr:rowOff>114300</xdr:rowOff>
    </xdr:from>
    <xdr:to>
      <xdr:col>25</xdr:col>
      <xdr:colOff>247650</xdr:colOff>
      <xdr:row>30</xdr:row>
      <xdr:rowOff>114300</xdr:rowOff>
    </xdr:to>
    <xdr:sp>
      <xdr:nvSpPr>
        <xdr:cNvPr id="1" name="Line 15"/>
        <xdr:cNvSpPr>
          <a:spLocks/>
        </xdr:cNvSpPr>
      </xdr:nvSpPr>
      <xdr:spPr>
        <a:xfrm>
          <a:off x="6629400" y="676275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114300</xdr:rowOff>
    </xdr:from>
    <xdr:to>
      <xdr:col>25</xdr:col>
      <xdr:colOff>228600</xdr:colOff>
      <xdr:row>23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6629400" y="5095875"/>
          <a:ext cx="52768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142875</xdr:rowOff>
    </xdr:from>
    <xdr:to>
      <xdr:col>12</xdr:col>
      <xdr:colOff>85725</xdr:colOff>
      <xdr:row>44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266700" y="10125075"/>
          <a:ext cx="5429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219075</xdr:rowOff>
    </xdr:from>
    <xdr:to>
      <xdr:col>23</xdr:col>
      <xdr:colOff>66675</xdr:colOff>
      <xdr:row>21</xdr:row>
      <xdr:rowOff>19050</xdr:rowOff>
    </xdr:to>
    <xdr:sp>
      <xdr:nvSpPr>
        <xdr:cNvPr id="4" name="Rectangle 32"/>
        <xdr:cNvSpPr>
          <a:spLocks/>
        </xdr:cNvSpPr>
      </xdr:nvSpPr>
      <xdr:spPr>
        <a:xfrm>
          <a:off x="10753725" y="4248150"/>
          <a:ext cx="57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190500</xdr:rowOff>
    </xdr:from>
    <xdr:to>
      <xdr:col>23</xdr:col>
      <xdr:colOff>85725</xdr:colOff>
      <xdr:row>25</xdr:row>
      <xdr:rowOff>28575</xdr:rowOff>
    </xdr:to>
    <xdr:sp>
      <xdr:nvSpPr>
        <xdr:cNvPr id="5" name="Rectangle 33"/>
        <xdr:cNvSpPr>
          <a:spLocks/>
        </xdr:cNvSpPr>
      </xdr:nvSpPr>
      <xdr:spPr>
        <a:xfrm>
          <a:off x="10753725" y="5172075"/>
          <a:ext cx="76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66675</xdr:colOff>
      <xdr:row>32</xdr:row>
      <xdr:rowOff>9525</xdr:rowOff>
    </xdr:to>
    <xdr:sp>
      <xdr:nvSpPr>
        <xdr:cNvPr id="6" name="Rectangle 34"/>
        <xdr:cNvSpPr>
          <a:spLocks/>
        </xdr:cNvSpPr>
      </xdr:nvSpPr>
      <xdr:spPr>
        <a:xfrm>
          <a:off x="10744200" y="688657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19</xdr:col>
      <xdr:colOff>209550</xdr:colOff>
      <xdr:row>16</xdr:row>
      <xdr:rowOff>0</xdr:rowOff>
    </xdr:from>
    <xdr:to>
      <xdr:col>25</xdr:col>
      <xdr:colOff>209550</xdr:colOff>
      <xdr:row>16</xdr:row>
      <xdr:rowOff>0</xdr:rowOff>
    </xdr:to>
    <xdr:sp>
      <xdr:nvSpPr>
        <xdr:cNvPr id="7" name="Line 67"/>
        <xdr:cNvSpPr>
          <a:spLocks/>
        </xdr:cNvSpPr>
      </xdr:nvSpPr>
      <xdr:spPr>
        <a:xfrm>
          <a:off x="9086850" y="3314700"/>
          <a:ext cx="28003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104775</xdr:rowOff>
    </xdr:from>
    <xdr:to>
      <xdr:col>25</xdr:col>
      <xdr:colOff>190500</xdr:colOff>
      <xdr:row>34</xdr:row>
      <xdr:rowOff>104775</xdr:rowOff>
    </xdr:to>
    <xdr:sp>
      <xdr:nvSpPr>
        <xdr:cNvPr id="8" name="Line 68"/>
        <xdr:cNvSpPr>
          <a:spLocks/>
        </xdr:cNvSpPr>
      </xdr:nvSpPr>
      <xdr:spPr>
        <a:xfrm>
          <a:off x="6619875" y="7705725"/>
          <a:ext cx="52482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200025</xdr:rowOff>
    </xdr:from>
    <xdr:to>
      <xdr:col>13</xdr:col>
      <xdr:colOff>0</xdr:colOff>
      <xdr:row>57</xdr:row>
      <xdr:rowOff>200025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8575" y="13039725"/>
          <a:ext cx="604837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4</xdr:col>
      <xdr:colOff>0</xdr:colOff>
      <xdr:row>8</xdr:row>
      <xdr:rowOff>171450</xdr:rowOff>
    </xdr:to>
    <xdr:sp>
      <xdr:nvSpPr>
        <xdr:cNvPr id="10" name="TextBox 74"/>
        <xdr:cNvSpPr txBox="1">
          <a:spLocks noChangeArrowheads="1"/>
        </xdr:cNvSpPr>
      </xdr:nvSpPr>
      <xdr:spPr>
        <a:xfrm>
          <a:off x="0" y="1276350"/>
          <a:ext cx="18669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200025</xdr:rowOff>
    </xdr:from>
    <xdr:to>
      <xdr:col>13</xdr:col>
      <xdr:colOff>19050</xdr:colOff>
      <xdr:row>18</xdr:row>
      <xdr:rowOff>200025</xdr:rowOff>
    </xdr:to>
    <xdr:sp>
      <xdr:nvSpPr>
        <xdr:cNvPr id="11" name="TextBox 75"/>
        <xdr:cNvSpPr txBox="1">
          <a:spLocks noChangeArrowheads="1"/>
        </xdr:cNvSpPr>
      </xdr:nvSpPr>
      <xdr:spPr>
        <a:xfrm>
          <a:off x="0" y="3752850"/>
          <a:ext cx="60960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0</xdr:colOff>
      <xdr:row>38</xdr:row>
      <xdr:rowOff>180975</xdr:rowOff>
    </xdr:from>
    <xdr:to>
      <xdr:col>25</xdr:col>
      <xdr:colOff>438150</xdr:colOff>
      <xdr:row>39</xdr:row>
      <xdr:rowOff>200025</xdr:rowOff>
    </xdr:to>
    <xdr:sp>
      <xdr:nvSpPr>
        <xdr:cNvPr id="12" name="TextBox 76"/>
        <xdr:cNvSpPr txBox="1">
          <a:spLocks noChangeArrowheads="1"/>
        </xdr:cNvSpPr>
      </xdr:nvSpPr>
      <xdr:spPr>
        <a:xfrm>
          <a:off x="6543675" y="8734425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12</xdr:col>
      <xdr:colOff>457200</xdr:colOff>
      <xdr:row>15</xdr:row>
      <xdr:rowOff>0</xdr:rowOff>
    </xdr:to>
    <xdr:sp>
      <xdr:nvSpPr>
        <xdr:cNvPr id="13" name="TextBox 77"/>
        <xdr:cNvSpPr txBox="1">
          <a:spLocks noChangeArrowheads="1"/>
        </xdr:cNvSpPr>
      </xdr:nvSpPr>
      <xdr:spPr>
        <a:xfrm>
          <a:off x="2333625" y="2847975"/>
          <a:ext cx="3733800" cy="2286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11</xdr:col>
      <xdr:colOff>9525</xdr:colOff>
      <xdr:row>8</xdr:row>
      <xdr:rowOff>190500</xdr:rowOff>
    </xdr:to>
    <xdr:sp>
      <xdr:nvSpPr>
        <xdr:cNvPr id="14" name="TextBox 78"/>
        <xdr:cNvSpPr txBox="1">
          <a:spLocks noChangeArrowheads="1"/>
        </xdr:cNvSpPr>
      </xdr:nvSpPr>
      <xdr:spPr>
        <a:xfrm>
          <a:off x="2343150" y="1276350"/>
          <a:ext cx="280987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9525</xdr:colOff>
      <xdr:row>17</xdr:row>
      <xdr:rowOff>190500</xdr:rowOff>
    </xdr:from>
    <xdr:to>
      <xdr:col>26</xdr:col>
      <xdr:colOff>9525</xdr:colOff>
      <xdr:row>18</xdr:row>
      <xdr:rowOff>200025</xdr:rowOff>
    </xdr:to>
    <xdr:sp>
      <xdr:nvSpPr>
        <xdr:cNvPr id="15" name="TextBox 79"/>
        <xdr:cNvSpPr txBox="1">
          <a:spLocks noChangeArrowheads="1"/>
        </xdr:cNvSpPr>
      </xdr:nvSpPr>
      <xdr:spPr>
        <a:xfrm>
          <a:off x="6553200" y="3743325"/>
          <a:ext cx="5581650" cy="247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14</xdr:col>
      <xdr:colOff>0</xdr:colOff>
      <xdr:row>43</xdr:row>
      <xdr:rowOff>180975</xdr:rowOff>
    </xdr:from>
    <xdr:to>
      <xdr:col>25</xdr:col>
      <xdr:colOff>438150</xdr:colOff>
      <xdr:row>44</xdr:row>
      <xdr:rowOff>200025</xdr:rowOff>
    </xdr:to>
    <xdr:sp>
      <xdr:nvSpPr>
        <xdr:cNvPr id="16" name="TextBox 80"/>
        <xdr:cNvSpPr txBox="1">
          <a:spLocks noChangeArrowheads="1"/>
        </xdr:cNvSpPr>
      </xdr:nvSpPr>
      <xdr:spPr>
        <a:xfrm>
          <a:off x="6543675" y="9925050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13</xdr:col>
      <xdr:colOff>457200</xdr:colOff>
      <xdr:row>56</xdr:row>
      <xdr:rowOff>114300</xdr:rowOff>
    </xdr:from>
    <xdr:to>
      <xdr:col>20</xdr:col>
      <xdr:colOff>19050</xdr:colOff>
      <xdr:row>57</xdr:row>
      <xdr:rowOff>85725</xdr:rowOff>
    </xdr:to>
    <xdr:sp>
      <xdr:nvSpPr>
        <xdr:cNvPr id="17" name="TextBox 81"/>
        <xdr:cNvSpPr txBox="1">
          <a:spLocks noChangeArrowheads="1"/>
        </xdr:cNvSpPr>
      </xdr:nvSpPr>
      <xdr:spPr>
        <a:xfrm>
          <a:off x="6534150" y="12954000"/>
          <a:ext cx="2828925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Special attacks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26</xdr:col>
      <xdr:colOff>9525</xdr:colOff>
      <xdr:row>8</xdr:row>
      <xdr:rowOff>200025</xdr:rowOff>
    </xdr:to>
    <xdr:sp>
      <xdr:nvSpPr>
        <xdr:cNvPr id="18" name="TextBox 82"/>
        <xdr:cNvSpPr txBox="1">
          <a:spLocks noChangeArrowheads="1"/>
        </xdr:cNvSpPr>
      </xdr:nvSpPr>
      <xdr:spPr>
        <a:xfrm>
          <a:off x="8877300" y="1257300"/>
          <a:ext cx="3257550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AC</a:t>
          </a:r>
        </a:p>
      </xdr:txBody>
    </xdr:sp>
    <xdr:clientData/>
  </xdr:twoCellAnchor>
  <xdr:twoCellAnchor>
    <xdr:from>
      <xdr:col>12</xdr:col>
      <xdr:colOff>9525</xdr:colOff>
      <xdr:row>7</xdr:row>
      <xdr:rowOff>161925</xdr:rowOff>
    </xdr:from>
    <xdr:to>
      <xdr:col>18</xdr:col>
      <xdr:colOff>9525</xdr:colOff>
      <xdr:row>8</xdr:row>
      <xdr:rowOff>200025</xdr:rowOff>
    </xdr:to>
    <xdr:sp>
      <xdr:nvSpPr>
        <xdr:cNvPr id="19" name="TextBox 83"/>
        <xdr:cNvSpPr txBox="1">
          <a:spLocks noChangeArrowheads="1"/>
        </xdr:cNvSpPr>
      </xdr:nvSpPr>
      <xdr:spPr>
        <a:xfrm>
          <a:off x="5619750" y="1276350"/>
          <a:ext cx="2800350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23</xdr:col>
      <xdr:colOff>28575</xdr:colOff>
      <xdr:row>35</xdr:row>
      <xdr:rowOff>0</xdr:rowOff>
    </xdr:from>
    <xdr:to>
      <xdr:col>23</xdr:col>
      <xdr:colOff>95250</xdr:colOff>
      <xdr:row>36</xdr:row>
      <xdr:rowOff>47625</xdr:rowOff>
    </xdr:to>
    <xdr:sp>
      <xdr:nvSpPr>
        <xdr:cNvPr id="20" name="Rectangle 84"/>
        <xdr:cNvSpPr>
          <a:spLocks/>
        </xdr:cNvSpPr>
      </xdr:nvSpPr>
      <xdr:spPr>
        <a:xfrm>
          <a:off x="10772775" y="783907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200025</xdr:rowOff>
    </xdr:from>
    <xdr:to>
      <xdr:col>23</xdr:col>
      <xdr:colOff>66675</xdr:colOff>
      <xdr:row>36</xdr:row>
      <xdr:rowOff>9525</xdr:rowOff>
    </xdr:to>
    <xdr:sp>
      <xdr:nvSpPr>
        <xdr:cNvPr id="21" name="Rectangle 96"/>
        <xdr:cNvSpPr>
          <a:spLocks/>
        </xdr:cNvSpPr>
      </xdr:nvSpPr>
      <xdr:spPr>
        <a:xfrm>
          <a:off x="10744200" y="780097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142875</xdr:rowOff>
    </xdr:from>
    <xdr:to>
      <xdr:col>7</xdr:col>
      <xdr:colOff>333375</xdr:colOff>
      <xdr:row>27</xdr:row>
      <xdr:rowOff>142875</xdr:rowOff>
    </xdr:to>
    <xdr:sp>
      <xdr:nvSpPr>
        <xdr:cNvPr id="22" name="Line 108"/>
        <xdr:cNvSpPr>
          <a:spLocks/>
        </xdr:cNvSpPr>
      </xdr:nvSpPr>
      <xdr:spPr>
        <a:xfrm>
          <a:off x="3438525" y="607695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27</xdr:col>
      <xdr:colOff>428625</xdr:colOff>
      <xdr:row>35</xdr:row>
      <xdr:rowOff>114300</xdr:rowOff>
    </xdr:from>
    <xdr:to>
      <xdr:col>30</xdr:col>
      <xdr:colOff>257175</xdr:colOff>
      <xdr:row>35</xdr:row>
      <xdr:rowOff>114300</xdr:rowOff>
    </xdr:to>
    <xdr:sp>
      <xdr:nvSpPr>
        <xdr:cNvPr id="23" name="Line 109"/>
        <xdr:cNvSpPr>
          <a:spLocks/>
        </xdr:cNvSpPr>
      </xdr:nvSpPr>
      <xdr:spPr>
        <a:xfrm>
          <a:off x="12858750" y="7953375"/>
          <a:ext cx="2352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123825</xdr:rowOff>
    </xdr:from>
    <xdr:to>
      <xdr:col>7</xdr:col>
      <xdr:colOff>457200</xdr:colOff>
      <xdr:row>27</xdr:row>
      <xdr:rowOff>123825</xdr:rowOff>
    </xdr:to>
    <xdr:sp>
      <xdr:nvSpPr>
        <xdr:cNvPr id="24" name="Line 113"/>
        <xdr:cNvSpPr>
          <a:spLocks/>
        </xdr:cNvSpPr>
      </xdr:nvSpPr>
      <xdr:spPr>
        <a:xfrm>
          <a:off x="3381375" y="605790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43</xdr:row>
      <xdr:rowOff>123825</xdr:rowOff>
    </xdr:from>
    <xdr:to>
      <xdr:col>7</xdr:col>
      <xdr:colOff>457200</xdr:colOff>
      <xdr:row>43</xdr:row>
      <xdr:rowOff>123825</xdr:rowOff>
    </xdr:to>
    <xdr:sp>
      <xdr:nvSpPr>
        <xdr:cNvPr id="25" name="Line 114"/>
        <xdr:cNvSpPr>
          <a:spLocks/>
        </xdr:cNvSpPr>
      </xdr:nvSpPr>
      <xdr:spPr>
        <a:xfrm>
          <a:off x="3381375" y="986790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123825</xdr:rowOff>
    </xdr:from>
    <xdr:to>
      <xdr:col>7</xdr:col>
      <xdr:colOff>457200</xdr:colOff>
      <xdr:row>23</xdr:row>
      <xdr:rowOff>123825</xdr:rowOff>
    </xdr:to>
    <xdr:sp>
      <xdr:nvSpPr>
        <xdr:cNvPr id="26" name="Line 118"/>
        <xdr:cNvSpPr>
          <a:spLocks/>
        </xdr:cNvSpPr>
      </xdr:nvSpPr>
      <xdr:spPr>
        <a:xfrm>
          <a:off x="3381375" y="510540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85725</xdr:rowOff>
    </xdr:from>
    <xdr:to>
      <xdr:col>25</xdr:col>
      <xdr:colOff>342900</xdr:colOff>
      <xdr:row>27</xdr:row>
      <xdr:rowOff>85725</xdr:rowOff>
    </xdr:to>
    <xdr:sp>
      <xdr:nvSpPr>
        <xdr:cNvPr id="27" name="Line 125"/>
        <xdr:cNvSpPr>
          <a:spLocks/>
        </xdr:cNvSpPr>
      </xdr:nvSpPr>
      <xdr:spPr>
        <a:xfrm>
          <a:off x="6762750" y="6019800"/>
          <a:ext cx="52578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28575</xdr:colOff>
      <xdr:row>28</xdr:row>
      <xdr:rowOff>0</xdr:rowOff>
    </xdr:from>
    <xdr:to>
      <xdr:col>23</xdr:col>
      <xdr:colOff>95250</xdr:colOff>
      <xdr:row>29</xdr:row>
      <xdr:rowOff>47625</xdr:rowOff>
    </xdr:to>
    <xdr:sp>
      <xdr:nvSpPr>
        <xdr:cNvPr id="28" name="Rectangle 126"/>
        <xdr:cNvSpPr>
          <a:spLocks/>
        </xdr:cNvSpPr>
      </xdr:nvSpPr>
      <xdr:spPr>
        <a:xfrm>
          <a:off x="10772775" y="617220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200025</xdr:rowOff>
    </xdr:from>
    <xdr:to>
      <xdr:col>23</xdr:col>
      <xdr:colOff>66675</xdr:colOff>
      <xdr:row>29</xdr:row>
      <xdr:rowOff>9525</xdr:rowOff>
    </xdr:to>
    <xdr:sp>
      <xdr:nvSpPr>
        <xdr:cNvPr id="29" name="Rectangle 127"/>
        <xdr:cNvSpPr>
          <a:spLocks/>
        </xdr:cNvSpPr>
      </xdr:nvSpPr>
      <xdr:spPr>
        <a:xfrm>
          <a:off x="10744200" y="613410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23</xdr:col>
      <xdr:colOff>95250</xdr:colOff>
      <xdr:row>30</xdr:row>
      <xdr:rowOff>0</xdr:rowOff>
    </xdr:to>
    <xdr:sp>
      <xdr:nvSpPr>
        <xdr:cNvPr id="30" name="Rectangle 129"/>
        <xdr:cNvSpPr>
          <a:spLocks/>
        </xdr:cNvSpPr>
      </xdr:nvSpPr>
      <xdr:spPr>
        <a:xfrm>
          <a:off x="10772775" y="6410325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200025</xdr:rowOff>
    </xdr:from>
    <xdr:to>
      <xdr:col>23</xdr:col>
      <xdr:colOff>66675</xdr:colOff>
      <xdr:row>30</xdr:row>
      <xdr:rowOff>0</xdr:rowOff>
    </xdr:to>
    <xdr:sp>
      <xdr:nvSpPr>
        <xdr:cNvPr id="31" name="Rectangle 130"/>
        <xdr:cNvSpPr>
          <a:spLocks/>
        </xdr:cNvSpPr>
      </xdr:nvSpPr>
      <xdr:spPr>
        <a:xfrm>
          <a:off x="10744200" y="6372225"/>
          <a:ext cx="66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428625</xdr:colOff>
      <xdr:row>20</xdr:row>
      <xdr:rowOff>142875</xdr:rowOff>
    </xdr:to>
    <xdr:sp>
      <xdr:nvSpPr>
        <xdr:cNvPr id="32" name="Line 132"/>
        <xdr:cNvSpPr>
          <a:spLocks/>
        </xdr:cNvSpPr>
      </xdr:nvSpPr>
      <xdr:spPr>
        <a:xfrm>
          <a:off x="3352800" y="441007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30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1686877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Special moves and acts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27</xdr:row>
      <xdr:rowOff>104775</xdr:rowOff>
    </xdr:from>
    <xdr:to>
      <xdr:col>26</xdr:col>
      <xdr:colOff>295275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810375" y="598170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114300</xdr:rowOff>
    </xdr:from>
    <xdr:to>
      <xdr:col>26</xdr:col>
      <xdr:colOff>219075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762750" y="5038725"/>
          <a:ext cx="52673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</xdr:col>
      <xdr:colOff>266700</xdr:colOff>
      <xdr:row>44</xdr:row>
      <xdr:rowOff>142875</xdr:rowOff>
    </xdr:from>
    <xdr:to>
      <xdr:col>13</xdr:col>
      <xdr:colOff>85725</xdr:colOff>
      <xdr:row>44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81000" y="10067925"/>
          <a:ext cx="54483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0</xdr:rowOff>
    </xdr:from>
    <xdr:to>
      <xdr:col>24</xdr:col>
      <xdr:colOff>66675</xdr:colOff>
      <xdr:row>20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0887075" y="4210050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190500</xdr:rowOff>
    </xdr:from>
    <xdr:to>
      <xdr:col>24</xdr:col>
      <xdr:colOff>85725</xdr:colOff>
      <xdr:row>24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10887075" y="5114925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66675</xdr:colOff>
      <xdr:row>32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0877550" y="68294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20</xdr:col>
      <xdr:colOff>209550</xdr:colOff>
      <xdr:row>16</xdr:row>
      <xdr:rowOff>0</xdr:rowOff>
    </xdr:from>
    <xdr:to>
      <xdr:col>26</xdr:col>
      <xdr:colOff>209550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3257550"/>
          <a:ext cx="28003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15</xdr:col>
      <xdr:colOff>123825</xdr:colOff>
      <xdr:row>34</xdr:row>
      <xdr:rowOff>104775</xdr:rowOff>
    </xdr:from>
    <xdr:to>
      <xdr:col>26</xdr:col>
      <xdr:colOff>247650</xdr:colOff>
      <xdr:row>34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800850" y="7648575"/>
          <a:ext cx="52578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</xdr:col>
      <xdr:colOff>28575</xdr:colOff>
      <xdr:row>56</xdr:row>
      <xdr:rowOff>200025</xdr:rowOff>
    </xdr:from>
    <xdr:to>
      <xdr:col>14</xdr:col>
      <xdr:colOff>0</xdr:colOff>
      <xdr:row>57</xdr:row>
      <xdr:rowOff>200025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875" y="12982575"/>
          <a:ext cx="606742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</xdr:col>
      <xdr:colOff>0</xdr:colOff>
      <xdr:row>7</xdr:row>
      <xdr:rowOff>219075</xdr:rowOff>
    </xdr:from>
    <xdr:to>
      <xdr:col>5</xdr:col>
      <xdr:colOff>0</xdr:colOff>
      <xdr:row>8</xdr:row>
      <xdr:rowOff>200025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00" y="1333500"/>
          <a:ext cx="186690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</xdr:col>
      <xdr:colOff>0</xdr:colOff>
      <xdr:row>17</xdr:row>
      <xdr:rowOff>219075</xdr:rowOff>
    </xdr:from>
    <xdr:to>
      <xdr:col>14</xdr:col>
      <xdr:colOff>19050</xdr:colOff>
      <xdr:row>18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3714750"/>
          <a:ext cx="61150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15</xdr:col>
      <xdr:colOff>0</xdr:colOff>
      <xdr:row>38</xdr:row>
      <xdr:rowOff>180975</xdr:rowOff>
    </xdr:from>
    <xdr:to>
      <xdr:col>26</xdr:col>
      <xdr:colOff>438150</xdr:colOff>
      <xdr:row>39</xdr:row>
      <xdr:rowOff>200025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677025" y="8677275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6</xdr:col>
      <xdr:colOff>0</xdr:colOff>
      <xdr:row>13</xdr:row>
      <xdr:rowOff>228600</xdr:rowOff>
    </xdr:from>
    <xdr:to>
      <xdr:col>14</xdr:col>
      <xdr:colOff>0</xdr:colOff>
      <xdr:row>14</xdr:row>
      <xdr:rowOff>190500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476500" y="2771775"/>
          <a:ext cx="37338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6</xdr:col>
      <xdr:colOff>9525</xdr:colOff>
      <xdr:row>7</xdr:row>
      <xdr:rowOff>219075</xdr:rowOff>
    </xdr:from>
    <xdr:to>
      <xdr:col>12</xdr:col>
      <xdr:colOff>9525</xdr:colOff>
      <xdr:row>8</xdr:row>
      <xdr:rowOff>200025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86025" y="1333500"/>
          <a:ext cx="28003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15</xdr:col>
      <xdr:colOff>9525</xdr:colOff>
      <xdr:row>17</xdr:row>
      <xdr:rowOff>200025</xdr:rowOff>
    </xdr:from>
    <xdr:to>
      <xdr:col>26</xdr:col>
      <xdr:colOff>457200</xdr:colOff>
      <xdr:row>18</xdr:row>
      <xdr:rowOff>190500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686550" y="3695700"/>
          <a:ext cx="5581650" cy="2286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15</xdr:col>
      <xdr:colOff>0</xdr:colOff>
      <xdr:row>43</xdr:row>
      <xdr:rowOff>180975</xdr:rowOff>
    </xdr:from>
    <xdr:to>
      <xdr:col>26</xdr:col>
      <xdr:colOff>438150</xdr:colOff>
      <xdr:row>44</xdr:row>
      <xdr:rowOff>200025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677025" y="9867900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15</xdr:col>
      <xdr:colOff>0</xdr:colOff>
      <xdr:row>56</xdr:row>
      <xdr:rowOff>104775</xdr:rowOff>
    </xdr:from>
    <xdr:to>
      <xdr:col>21</xdr:col>
      <xdr:colOff>28575</xdr:colOff>
      <xdr:row>57</xdr:row>
      <xdr:rowOff>123825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677025" y="12887325"/>
          <a:ext cx="28289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Rage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20</xdr:col>
      <xdr:colOff>0</xdr:colOff>
      <xdr:row>8</xdr:row>
      <xdr:rowOff>9525</xdr:rowOff>
    </xdr:from>
    <xdr:to>
      <xdr:col>26</xdr:col>
      <xdr:colOff>438150</xdr:colOff>
      <xdr:row>8</xdr:row>
      <xdr:rowOff>209550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010650" y="1362075"/>
          <a:ext cx="32385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AC  RAGE: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Straf på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til alle AC indregnet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til alle AC!
</a:t>
          </a:r>
        </a:p>
      </xdr:txBody>
    </xdr:sp>
    <xdr:clientData/>
  </xdr:twoCellAnchor>
  <xdr:twoCellAnchor>
    <xdr:from>
      <xdr:col>13</xdr:col>
      <xdr:colOff>9525</xdr:colOff>
      <xdr:row>7</xdr:row>
      <xdr:rowOff>228600</xdr:rowOff>
    </xdr:from>
    <xdr:to>
      <xdr:col>19</xdr:col>
      <xdr:colOff>9525</xdr:colOff>
      <xdr:row>8</xdr:row>
      <xdr:rowOff>200025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53100" y="1343025"/>
          <a:ext cx="28003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24</xdr:col>
      <xdr:colOff>28575</xdr:colOff>
      <xdr:row>35</xdr:row>
      <xdr:rowOff>0</xdr:rowOff>
    </xdr:from>
    <xdr:to>
      <xdr:col>24</xdr:col>
      <xdr:colOff>95250</xdr:colOff>
      <xdr:row>36</xdr:row>
      <xdr:rowOff>47625</xdr:rowOff>
    </xdr:to>
    <xdr:sp>
      <xdr:nvSpPr>
        <xdr:cNvPr id="20" name="Rectangle 20"/>
        <xdr:cNvSpPr>
          <a:spLocks/>
        </xdr:cNvSpPr>
      </xdr:nvSpPr>
      <xdr:spPr>
        <a:xfrm>
          <a:off x="10906125" y="7781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200025</xdr:rowOff>
    </xdr:from>
    <xdr:to>
      <xdr:col>24</xdr:col>
      <xdr:colOff>66675</xdr:colOff>
      <xdr:row>36</xdr:row>
      <xdr:rowOff>9525</xdr:rowOff>
    </xdr:to>
    <xdr:sp>
      <xdr:nvSpPr>
        <xdr:cNvPr id="21" name="Rectangle 21"/>
        <xdr:cNvSpPr>
          <a:spLocks/>
        </xdr:cNvSpPr>
      </xdr:nvSpPr>
      <xdr:spPr>
        <a:xfrm>
          <a:off x="10877550" y="77438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142875</xdr:rowOff>
    </xdr:from>
    <xdr:to>
      <xdr:col>8</xdr:col>
      <xdr:colOff>333375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581400" y="601980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123825</xdr:rowOff>
    </xdr:from>
    <xdr:to>
      <xdr:col>8</xdr:col>
      <xdr:colOff>457200</xdr:colOff>
      <xdr:row>27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524250" y="600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8</xdr:col>
      <xdr:colOff>114300</xdr:colOff>
      <xdr:row>43</xdr:row>
      <xdr:rowOff>123825</xdr:rowOff>
    </xdr:from>
    <xdr:to>
      <xdr:col>8</xdr:col>
      <xdr:colOff>457200</xdr:colOff>
      <xdr:row>43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3524250" y="981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123825</xdr:rowOff>
    </xdr:from>
    <xdr:to>
      <xdr:col>8</xdr:col>
      <xdr:colOff>457200</xdr:colOff>
      <xdr:row>23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3524250" y="50482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24</xdr:col>
      <xdr:colOff>95250</xdr:colOff>
      <xdr:row>28</xdr:row>
      <xdr:rowOff>47625</xdr:rowOff>
    </xdr:to>
    <xdr:sp>
      <xdr:nvSpPr>
        <xdr:cNvPr id="26" name="Rectangle 43"/>
        <xdr:cNvSpPr>
          <a:spLocks/>
        </xdr:cNvSpPr>
      </xdr:nvSpPr>
      <xdr:spPr>
        <a:xfrm>
          <a:off x="10906125" y="5876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200025</xdr:rowOff>
    </xdr:from>
    <xdr:to>
      <xdr:col>24</xdr:col>
      <xdr:colOff>66675</xdr:colOff>
      <xdr:row>29</xdr:row>
      <xdr:rowOff>9525</xdr:rowOff>
    </xdr:to>
    <xdr:sp>
      <xdr:nvSpPr>
        <xdr:cNvPr id="27" name="Rectangle 44"/>
        <xdr:cNvSpPr>
          <a:spLocks/>
        </xdr:cNvSpPr>
      </xdr:nvSpPr>
      <xdr:spPr>
        <a:xfrm>
          <a:off x="10877550" y="60769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28575</xdr:colOff>
      <xdr:row>28</xdr:row>
      <xdr:rowOff>0</xdr:rowOff>
    </xdr:from>
    <xdr:to>
      <xdr:col>24</xdr:col>
      <xdr:colOff>95250</xdr:colOff>
      <xdr:row>29</xdr:row>
      <xdr:rowOff>0</xdr:rowOff>
    </xdr:to>
    <xdr:sp>
      <xdr:nvSpPr>
        <xdr:cNvPr id="28" name="Rectangle 45"/>
        <xdr:cNvSpPr>
          <a:spLocks/>
        </xdr:cNvSpPr>
      </xdr:nvSpPr>
      <xdr:spPr>
        <a:xfrm>
          <a:off x="10906125" y="6115050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200025</xdr:rowOff>
    </xdr:from>
    <xdr:to>
      <xdr:col>24</xdr:col>
      <xdr:colOff>66675</xdr:colOff>
      <xdr:row>29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10877550" y="6076950"/>
          <a:ext cx="66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104775</xdr:rowOff>
    </xdr:from>
    <xdr:to>
      <xdr:col>26</xdr:col>
      <xdr:colOff>295275</xdr:colOff>
      <xdr:row>30</xdr:row>
      <xdr:rowOff>104775</xdr:rowOff>
    </xdr:to>
    <xdr:sp>
      <xdr:nvSpPr>
        <xdr:cNvPr id="30" name="Line 49"/>
        <xdr:cNvSpPr>
          <a:spLocks/>
        </xdr:cNvSpPr>
      </xdr:nvSpPr>
      <xdr:spPr>
        <a:xfrm>
          <a:off x="6810375" y="6696075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27</xdr:row>
      <xdr:rowOff>104775</xdr:rowOff>
    </xdr:from>
    <xdr:to>
      <xdr:col>55</xdr:col>
      <xdr:colOff>295275</xdr:colOff>
      <xdr:row>27</xdr:row>
      <xdr:rowOff>104775</xdr:rowOff>
    </xdr:to>
    <xdr:sp>
      <xdr:nvSpPr>
        <xdr:cNvPr id="31" name="Line 51"/>
        <xdr:cNvSpPr>
          <a:spLocks/>
        </xdr:cNvSpPr>
      </xdr:nvSpPr>
      <xdr:spPr>
        <a:xfrm>
          <a:off x="19288125" y="598170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85725</xdr:colOff>
      <xdr:row>23</xdr:row>
      <xdr:rowOff>114300</xdr:rowOff>
    </xdr:from>
    <xdr:to>
      <xdr:col>55</xdr:col>
      <xdr:colOff>219075</xdr:colOff>
      <xdr:row>23</xdr:row>
      <xdr:rowOff>114300</xdr:rowOff>
    </xdr:to>
    <xdr:sp>
      <xdr:nvSpPr>
        <xdr:cNvPr id="32" name="Line 52"/>
        <xdr:cNvSpPr>
          <a:spLocks/>
        </xdr:cNvSpPr>
      </xdr:nvSpPr>
      <xdr:spPr>
        <a:xfrm flipV="1">
          <a:off x="19240500" y="5038725"/>
          <a:ext cx="52673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266700</xdr:colOff>
      <xdr:row>44</xdr:row>
      <xdr:rowOff>142875</xdr:rowOff>
    </xdr:from>
    <xdr:to>
      <xdr:col>42</xdr:col>
      <xdr:colOff>85725</xdr:colOff>
      <xdr:row>44</xdr:row>
      <xdr:rowOff>142875</xdr:rowOff>
    </xdr:to>
    <xdr:sp>
      <xdr:nvSpPr>
        <xdr:cNvPr id="33" name="Line 53"/>
        <xdr:cNvSpPr>
          <a:spLocks/>
        </xdr:cNvSpPr>
      </xdr:nvSpPr>
      <xdr:spPr>
        <a:xfrm>
          <a:off x="12858750" y="10067925"/>
          <a:ext cx="54483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20</xdr:row>
      <xdr:rowOff>0</xdr:rowOff>
    </xdr:from>
    <xdr:to>
      <xdr:col>53</xdr:col>
      <xdr:colOff>66675</xdr:colOff>
      <xdr:row>20</xdr:row>
      <xdr:rowOff>219075</xdr:rowOff>
    </xdr:to>
    <xdr:sp>
      <xdr:nvSpPr>
        <xdr:cNvPr id="34" name="Rectangle 54"/>
        <xdr:cNvSpPr>
          <a:spLocks/>
        </xdr:cNvSpPr>
      </xdr:nvSpPr>
      <xdr:spPr>
        <a:xfrm>
          <a:off x="23364825" y="4210050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23</xdr:row>
      <xdr:rowOff>190500</xdr:rowOff>
    </xdr:from>
    <xdr:to>
      <xdr:col>53</xdr:col>
      <xdr:colOff>85725</xdr:colOff>
      <xdr:row>24</xdr:row>
      <xdr:rowOff>228600</xdr:rowOff>
    </xdr:to>
    <xdr:sp>
      <xdr:nvSpPr>
        <xdr:cNvPr id="35" name="Rectangle 55"/>
        <xdr:cNvSpPr>
          <a:spLocks/>
        </xdr:cNvSpPr>
      </xdr:nvSpPr>
      <xdr:spPr>
        <a:xfrm>
          <a:off x="23364825" y="5114925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31</xdr:row>
      <xdr:rowOff>0</xdr:rowOff>
    </xdr:from>
    <xdr:to>
      <xdr:col>53</xdr:col>
      <xdr:colOff>66675</xdr:colOff>
      <xdr:row>32</xdr:row>
      <xdr:rowOff>9525</xdr:rowOff>
    </xdr:to>
    <xdr:sp>
      <xdr:nvSpPr>
        <xdr:cNvPr id="36" name="Rectangle 56"/>
        <xdr:cNvSpPr>
          <a:spLocks/>
        </xdr:cNvSpPr>
      </xdr:nvSpPr>
      <xdr:spPr>
        <a:xfrm>
          <a:off x="23355300" y="68294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49</xdr:col>
      <xdr:colOff>209550</xdr:colOff>
      <xdr:row>16</xdr:row>
      <xdr:rowOff>0</xdr:rowOff>
    </xdr:from>
    <xdr:to>
      <xdr:col>55</xdr:col>
      <xdr:colOff>209550</xdr:colOff>
      <xdr:row>16</xdr:row>
      <xdr:rowOff>0</xdr:rowOff>
    </xdr:to>
    <xdr:sp>
      <xdr:nvSpPr>
        <xdr:cNvPr id="37" name="Line 57"/>
        <xdr:cNvSpPr>
          <a:spLocks/>
        </xdr:cNvSpPr>
      </xdr:nvSpPr>
      <xdr:spPr>
        <a:xfrm>
          <a:off x="21697950" y="3257550"/>
          <a:ext cx="28003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123825</xdr:colOff>
      <xdr:row>34</xdr:row>
      <xdr:rowOff>104775</xdr:rowOff>
    </xdr:from>
    <xdr:to>
      <xdr:col>55</xdr:col>
      <xdr:colOff>247650</xdr:colOff>
      <xdr:row>34</xdr:row>
      <xdr:rowOff>104775</xdr:rowOff>
    </xdr:to>
    <xdr:sp>
      <xdr:nvSpPr>
        <xdr:cNvPr id="38" name="Line 58"/>
        <xdr:cNvSpPr>
          <a:spLocks/>
        </xdr:cNvSpPr>
      </xdr:nvSpPr>
      <xdr:spPr>
        <a:xfrm>
          <a:off x="19278600" y="7648575"/>
          <a:ext cx="52578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28575</xdr:colOff>
      <xdr:row>56</xdr:row>
      <xdr:rowOff>200025</xdr:rowOff>
    </xdr:from>
    <xdr:to>
      <xdr:col>43</xdr:col>
      <xdr:colOff>0</xdr:colOff>
      <xdr:row>57</xdr:row>
      <xdr:rowOff>200025</xdr:rowOff>
    </xdr:to>
    <xdr:sp>
      <xdr:nvSpPr>
        <xdr:cNvPr id="39" name="TextBox 59"/>
        <xdr:cNvSpPr txBox="1">
          <a:spLocks noChangeArrowheads="1"/>
        </xdr:cNvSpPr>
      </xdr:nvSpPr>
      <xdr:spPr>
        <a:xfrm>
          <a:off x="12620625" y="12982575"/>
          <a:ext cx="606742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7</xdr:row>
      <xdr:rowOff>219075</xdr:rowOff>
    </xdr:from>
    <xdr:to>
      <xdr:col>34</xdr:col>
      <xdr:colOff>0</xdr:colOff>
      <xdr:row>8</xdr:row>
      <xdr:rowOff>200025</xdr:rowOff>
    </xdr:to>
    <xdr:sp>
      <xdr:nvSpPr>
        <xdr:cNvPr id="40" name="TextBox 60"/>
        <xdr:cNvSpPr txBox="1">
          <a:spLocks noChangeArrowheads="1"/>
        </xdr:cNvSpPr>
      </xdr:nvSpPr>
      <xdr:spPr>
        <a:xfrm>
          <a:off x="12592050" y="1333500"/>
          <a:ext cx="186690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17</xdr:row>
      <xdr:rowOff>219075</xdr:rowOff>
    </xdr:from>
    <xdr:to>
      <xdr:col>43</xdr:col>
      <xdr:colOff>19050</xdr:colOff>
      <xdr:row>18</xdr:row>
      <xdr:rowOff>200025</xdr:rowOff>
    </xdr:to>
    <xdr:sp>
      <xdr:nvSpPr>
        <xdr:cNvPr id="41" name="TextBox 61"/>
        <xdr:cNvSpPr txBox="1">
          <a:spLocks noChangeArrowheads="1"/>
        </xdr:cNvSpPr>
      </xdr:nvSpPr>
      <xdr:spPr>
        <a:xfrm>
          <a:off x="12592050" y="3714750"/>
          <a:ext cx="61150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0</xdr:colOff>
      <xdr:row>38</xdr:row>
      <xdr:rowOff>180975</xdr:rowOff>
    </xdr:from>
    <xdr:to>
      <xdr:col>55</xdr:col>
      <xdr:colOff>438150</xdr:colOff>
      <xdr:row>39</xdr:row>
      <xdr:rowOff>200025</xdr:rowOff>
    </xdr:to>
    <xdr:sp>
      <xdr:nvSpPr>
        <xdr:cNvPr id="42" name="TextBox 62"/>
        <xdr:cNvSpPr txBox="1">
          <a:spLocks noChangeArrowheads="1"/>
        </xdr:cNvSpPr>
      </xdr:nvSpPr>
      <xdr:spPr>
        <a:xfrm>
          <a:off x="19154775" y="8677275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0</xdr:colOff>
      <xdr:row>13</xdr:row>
      <xdr:rowOff>228600</xdr:rowOff>
    </xdr:from>
    <xdr:to>
      <xdr:col>42</xdr:col>
      <xdr:colOff>0</xdr:colOff>
      <xdr:row>14</xdr:row>
      <xdr:rowOff>219075</xdr:rowOff>
    </xdr:to>
    <xdr:sp>
      <xdr:nvSpPr>
        <xdr:cNvPr id="43" name="TextBox 63"/>
        <xdr:cNvSpPr txBox="1">
          <a:spLocks noChangeArrowheads="1"/>
        </xdr:cNvSpPr>
      </xdr:nvSpPr>
      <xdr:spPr>
        <a:xfrm>
          <a:off x="14954250" y="2771775"/>
          <a:ext cx="3267075" cy="2286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9525</xdr:colOff>
      <xdr:row>7</xdr:row>
      <xdr:rowOff>219075</xdr:rowOff>
    </xdr:from>
    <xdr:to>
      <xdr:col>41</xdr:col>
      <xdr:colOff>9525</xdr:colOff>
      <xdr:row>8</xdr:row>
      <xdr:rowOff>200025</xdr:rowOff>
    </xdr:to>
    <xdr:sp>
      <xdr:nvSpPr>
        <xdr:cNvPr id="44" name="TextBox 64"/>
        <xdr:cNvSpPr txBox="1">
          <a:spLocks noChangeArrowheads="1"/>
        </xdr:cNvSpPr>
      </xdr:nvSpPr>
      <xdr:spPr>
        <a:xfrm>
          <a:off x="14963775" y="1333500"/>
          <a:ext cx="28003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9525</xdr:colOff>
      <xdr:row>17</xdr:row>
      <xdr:rowOff>200025</xdr:rowOff>
    </xdr:from>
    <xdr:to>
      <xdr:col>56</xdr:col>
      <xdr:colOff>9525</xdr:colOff>
      <xdr:row>18</xdr:row>
      <xdr:rowOff>200025</xdr:rowOff>
    </xdr:to>
    <xdr:sp>
      <xdr:nvSpPr>
        <xdr:cNvPr id="45" name="TextBox 65"/>
        <xdr:cNvSpPr txBox="1">
          <a:spLocks noChangeArrowheads="1"/>
        </xdr:cNvSpPr>
      </xdr:nvSpPr>
      <xdr:spPr>
        <a:xfrm>
          <a:off x="19164300" y="3695700"/>
          <a:ext cx="56007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44</xdr:col>
      <xdr:colOff>0</xdr:colOff>
      <xdr:row>43</xdr:row>
      <xdr:rowOff>180975</xdr:rowOff>
    </xdr:from>
    <xdr:to>
      <xdr:col>55</xdr:col>
      <xdr:colOff>438150</xdr:colOff>
      <xdr:row>44</xdr:row>
      <xdr:rowOff>200025</xdr:rowOff>
    </xdr:to>
    <xdr:sp>
      <xdr:nvSpPr>
        <xdr:cNvPr id="46" name="TextBox 66"/>
        <xdr:cNvSpPr txBox="1">
          <a:spLocks noChangeArrowheads="1"/>
        </xdr:cNvSpPr>
      </xdr:nvSpPr>
      <xdr:spPr>
        <a:xfrm>
          <a:off x="19154775" y="9867900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42</xdr:col>
      <xdr:colOff>9525</xdr:colOff>
      <xdr:row>7</xdr:row>
      <xdr:rowOff>228600</xdr:rowOff>
    </xdr:from>
    <xdr:to>
      <xdr:col>48</xdr:col>
      <xdr:colOff>9525</xdr:colOff>
      <xdr:row>8</xdr:row>
      <xdr:rowOff>200025</xdr:rowOff>
    </xdr:to>
    <xdr:sp>
      <xdr:nvSpPr>
        <xdr:cNvPr id="47" name="TextBox 69"/>
        <xdr:cNvSpPr txBox="1">
          <a:spLocks noChangeArrowheads="1"/>
        </xdr:cNvSpPr>
      </xdr:nvSpPr>
      <xdr:spPr>
        <a:xfrm>
          <a:off x="18230850" y="1343025"/>
          <a:ext cx="28003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53</xdr:col>
      <xdr:colOff>28575</xdr:colOff>
      <xdr:row>35</xdr:row>
      <xdr:rowOff>0</xdr:rowOff>
    </xdr:from>
    <xdr:to>
      <xdr:col>53</xdr:col>
      <xdr:colOff>95250</xdr:colOff>
      <xdr:row>36</xdr:row>
      <xdr:rowOff>47625</xdr:rowOff>
    </xdr:to>
    <xdr:sp>
      <xdr:nvSpPr>
        <xdr:cNvPr id="48" name="Rectangle 70"/>
        <xdr:cNvSpPr>
          <a:spLocks/>
        </xdr:cNvSpPr>
      </xdr:nvSpPr>
      <xdr:spPr>
        <a:xfrm>
          <a:off x="23383875" y="7781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34</xdr:row>
      <xdr:rowOff>200025</xdr:rowOff>
    </xdr:from>
    <xdr:to>
      <xdr:col>53</xdr:col>
      <xdr:colOff>66675</xdr:colOff>
      <xdr:row>36</xdr:row>
      <xdr:rowOff>9525</xdr:rowOff>
    </xdr:to>
    <xdr:sp>
      <xdr:nvSpPr>
        <xdr:cNvPr id="49" name="Rectangle 71"/>
        <xdr:cNvSpPr>
          <a:spLocks/>
        </xdr:cNvSpPr>
      </xdr:nvSpPr>
      <xdr:spPr>
        <a:xfrm>
          <a:off x="23355300" y="77438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171450</xdr:colOff>
      <xdr:row>27</xdr:row>
      <xdr:rowOff>142875</xdr:rowOff>
    </xdr:from>
    <xdr:to>
      <xdr:col>37</xdr:col>
      <xdr:colOff>333375</xdr:colOff>
      <xdr:row>27</xdr:row>
      <xdr:rowOff>142875</xdr:rowOff>
    </xdr:to>
    <xdr:sp>
      <xdr:nvSpPr>
        <xdr:cNvPr id="50" name="Line 72"/>
        <xdr:cNvSpPr>
          <a:spLocks/>
        </xdr:cNvSpPr>
      </xdr:nvSpPr>
      <xdr:spPr>
        <a:xfrm>
          <a:off x="16059150" y="601980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27</xdr:row>
      <xdr:rowOff>123825</xdr:rowOff>
    </xdr:from>
    <xdr:to>
      <xdr:col>37</xdr:col>
      <xdr:colOff>457200</xdr:colOff>
      <xdr:row>27</xdr:row>
      <xdr:rowOff>123825</xdr:rowOff>
    </xdr:to>
    <xdr:sp>
      <xdr:nvSpPr>
        <xdr:cNvPr id="51" name="Line 73"/>
        <xdr:cNvSpPr>
          <a:spLocks/>
        </xdr:cNvSpPr>
      </xdr:nvSpPr>
      <xdr:spPr>
        <a:xfrm>
          <a:off x="16002000" y="600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43</xdr:row>
      <xdr:rowOff>123825</xdr:rowOff>
    </xdr:from>
    <xdr:to>
      <xdr:col>37</xdr:col>
      <xdr:colOff>457200</xdr:colOff>
      <xdr:row>43</xdr:row>
      <xdr:rowOff>123825</xdr:rowOff>
    </xdr:to>
    <xdr:sp>
      <xdr:nvSpPr>
        <xdr:cNvPr id="52" name="Line 74"/>
        <xdr:cNvSpPr>
          <a:spLocks/>
        </xdr:cNvSpPr>
      </xdr:nvSpPr>
      <xdr:spPr>
        <a:xfrm>
          <a:off x="16002000" y="981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23</xdr:row>
      <xdr:rowOff>123825</xdr:rowOff>
    </xdr:from>
    <xdr:to>
      <xdr:col>37</xdr:col>
      <xdr:colOff>457200</xdr:colOff>
      <xdr:row>23</xdr:row>
      <xdr:rowOff>123825</xdr:rowOff>
    </xdr:to>
    <xdr:sp>
      <xdr:nvSpPr>
        <xdr:cNvPr id="53" name="Line 75"/>
        <xdr:cNvSpPr>
          <a:spLocks/>
        </xdr:cNvSpPr>
      </xdr:nvSpPr>
      <xdr:spPr>
        <a:xfrm>
          <a:off x="16002000" y="50482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28</xdr:row>
      <xdr:rowOff>0</xdr:rowOff>
    </xdr:from>
    <xdr:to>
      <xdr:col>53</xdr:col>
      <xdr:colOff>95250</xdr:colOff>
      <xdr:row>29</xdr:row>
      <xdr:rowOff>47625</xdr:rowOff>
    </xdr:to>
    <xdr:sp>
      <xdr:nvSpPr>
        <xdr:cNvPr id="54" name="Rectangle 76"/>
        <xdr:cNvSpPr>
          <a:spLocks/>
        </xdr:cNvSpPr>
      </xdr:nvSpPr>
      <xdr:spPr>
        <a:xfrm>
          <a:off x="23383875" y="61150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200025</xdr:rowOff>
    </xdr:from>
    <xdr:to>
      <xdr:col>53</xdr:col>
      <xdr:colOff>66675</xdr:colOff>
      <xdr:row>29</xdr:row>
      <xdr:rowOff>9525</xdr:rowOff>
    </xdr:to>
    <xdr:sp>
      <xdr:nvSpPr>
        <xdr:cNvPr id="55" name="Rectangle 77"/>
        <xdr:cNvSpPr>
          <a:spLocks/>
        </xdr:cNvSpPr>
      </xdr:nvSpPr>
      <xdr:spPr>
        <a:xfrm>
          <a:off x="23355300" y="60769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29</xdr:row>
      <xdr:rowOff>0</xdr:rowOff>
    </xdr:from>
    <xdr:to>
      <xdr:col>53</xdr:col>
      <xdr:colOff>95250</xdr:colOff>
      <xdr:row>30</xdr:row>
      <xdr:rowOff>0</xdr:rowOff>
    </xdr:to>
    <xdr:sp>
      <xdr:nvSpPr>
        <xdr:cNvPr id="56" name="Rectangle 78"/>
        <xdr:cNvSpPr>
          <a:spLocks/>
        </xdr:cNvSpPr>
      </xdr:nvSpPr>
      <xdr:spPr>
        <a:xfrm>
          <a:off x="23383875" y="6353175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200025</xdr:rowOff>
    </xdr:from>
    <xdr:to>
      <xdr:col>53</xdr:col>
      <xdr:colOff>66675</xdr:colOff>
      <xdr:row>30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23355300" y="6315075"/>
          <a:ext cx="66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104775</xdr:rowOff>
    </xdr:from>
    <xdr:to>
      <xdr:col>55</xdr:col>
      <xdr:colOff>295275</xdr:colOff>
      <xdr:row>30</xdr:row>
      <xdr:rowOff>104775</xdr:rowOff>
    </xdr:to>
    <xdr:sp>
      <xdr:nvSpPr>
        <xdr:cNvPr id="58" name="Line 80"/>
        <xdr:cNvSpPr>
          <a:spLocks/>
        </xdr:cNvSpPr>
      </xdr:nvSpPr>
      <xdr:spPr>
        <a:xfrm>
          <a:off x="19288125" y="6696075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104775</xdr:rowOff>
    </xdr:from>
    <xdr:to>
      <xdr:col>8</xdr:col>
      <xdr:colOff>428625</xdr:colOff>
      <xdr:row>20</xdr:row>
      <xdr:rowOff>104775</xdr:rowOff>
    </xdr:to>
    <xdr:sp>
      <xdr:nvSpPr>
        <xdr:cNvPr id="59" name="Line 98"/>
        <xdr:cNvSpPr>
          <a:spLocks/>
        </xdr:cNvSpPr>
      </xdr:nvSpPr>
      <xdr:spPr>
        <a:xfrm>
          <a:off x="3495675" y="43148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27</xdr:row>
      <xdr:rowOff>104775</xdr:rowOff>
    </xdr:from>
    <xdr:to>
      <xdr:col>55</xdr:col>
      <xdr:colOff>295275</xdr:colOff>
      <xdr:row>27</xdr:row>
      <xdr:rowOff>104775</xdr:rowOff>
    </xdr:to>
    <xdr:sp>
      <xdr:nvSpPr>
        <xdr:cNvPr id="60" name="Line 100"/>
        <xdr:cNvSpPr>
          <a:spLocks/>
        </xdr:cNvSpPr>
      </xdr:nvSpPr>
      <xdr:spPr>
        <a:xfrm>
          <a:off x="19288125" y="598170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85725</xdr:colOff>
      <xdr:row>23</xdr:row>
      <xdr:rowOff>114300</xdr:rowOff>
    </xdr:from>
    <xdr:to>
      <xdr:col>55</xdr:col>
      <xdr:colOff>219075</xdr:colOff>
      <xdr:row>23</xdr:row>
      <xdr:rowOff>114300</xdr:rowOff>
    </xdr:to>
    <xdr:sp>
      <xdr:nvSpPr>
        <xdr:cNvPr id="61" name="Line 101"/>
        <xdr:cNvSpPr>
          <a:spLocks/>
        </xdr:cNvSpPr>
      </xdr:nvSpPr>
      <xdr:spPr>
        <a:xfrm flipV="1">
          <a:off x="19240500" y="5038725"/>
          <a:ext cx="52673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266700</xdr:colOff>
      <xdr:row>44</xdr:row>
      <xdr:rowOff>142875</xdr:rowOff>
    </xdr:from>
    <xdr:to>
      <xdr:col>42</xdr:col>
      <xdr:colOff>85725</xdr:colOff>
      <xdr:row>44</xdr:row>
      <xdr:rowOff>142875</xdr:rowOff>
    </xdr:to>
    <xdr:sp>
      <xdr:nvSpPr>
        <xdr:cNvPr id="62" name="Line 102"/>
        <xdr:cNvSpPr>
          <a:spLocks/>
        </xdr:cNvSpPr>
      </xdr:nvSpPr>
      <xdr:spPr>
        <a:xfrm>
          <a:off x="12858750" y="10067925"/>
          <a:ext cx="54483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20</xdr:row>
      <xdr:rowOff>0</xdr:rowOff>
    </xdr:from>
    <xdr:to>
      <xdr:col>53</xdr:col>
      <xdr:colOff>66675</xdr:colOff>
      <xdr:row>20</xdr:row>
      <xdr:rowOff>219075</xdr:rowOff>
    </xdr:to>
    <xdr:sp>
      <xdr:nvSpPr>
        <xdr:cNvPr id="63" name="Rectangle 103"/>
        <xdr:cNvSpPr>
          <a:spLocks/>
        </xdr:cNvSpPr>
      </xdr:nvSpPr>
      <xdr:spPr>
        <a:xfrm>
          <a:off x="23364825" y="4210050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23</xdr:row>
      <xdr:rowOff>190500</xdr:rowOff>
    </xdr:from>
    <xdr:to>
      <xdr:col>53</xdr:col>
      <xdr:colOff>85725</xdr:colOff>
      <xdr:row>24</xdr:row>
      <xdr:rowOff>228600</xdr:rowOff>
    </xdr:to>
    <xdr:sp>
      <xdr:nvSpPr>
        <xdr:cNvPr id="64" name="Rectangle 104"/>
        <xdr:cNvSpPr>
          <a:spLocks/>
        </xdr:cNvSpPr>
      </xdr:nvSpPr>
      <xdr:spPr>
        <a:xfrm>
          <a:off x="23364825" y="5114925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31</xdr:row>
      <xdr:rowOff>0</xdr:rowOff>
    </xdr:from>
    <xdr:to>
      <xdr:col>53</xdr:col>
      <xdr:colOff>66675</xdr:colOff>
      <xdr:row>32</xdr:row>
      <xdr:rowOff>9525</xdr:rowOff>
    </xdr:to>
    <xdr:sp>
      <xdr:nvSpPr>
        <xdr:cNvPr id="65" name="Rectangle 105"/>
        <xdr:cNvSpPr>
          <a:spLocks/>
        </xdr:cNvSpPr>
      </xdr:nvSpPr>
      <xdr:spPr>
        <a:xfrm>
          <a:off x="23355300" y="68294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49</xdr:col>
      <xdr:colOff>209550</xdr:colOff>
      <xdr:row>16</xdr:row>
      <xdr:rowOff>0</xdr:rowOff>
    </xdr:from>
    <xdr:to>
      <xdr:col>55</xdr:col>
      <xdr:colOff>209550</xdr:colOff>
      <xdr:row>16</xdr:row>
      <xdr:rowOff>0</xdr:rowOff>
    </xdr:to>
    <xdr:sp>
      <xdr:nvSpPr>
        <xdr:cNvPr id="66" name="Line 106"/>
        <xdr:cNvSpPr>
          <a:spLocks/>
        </xdr:cNvSpPr>
      </xdr:nvSpPr>
      <xdr:spPr>
        <a:xfrm>
          <a:off x="21697950" y="3257550"/>
          <a:ext cx="28003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123825</xdr:colOff>
      <xdr:row>34</xdr:row>
      <xdr:rowOff>104775</xdr:rowOff>
    </xdr:from>
    <xdr:to>
      <xdr:col>55</xdr:col>
      <xdr:colOff>247650</xdr:colOff>
      <xdr:row>34</xdr:row>
      <xdr:rowOff>104775</xdr:rowOff>
    </xdr:to>
    <xdr:sp>
      <xdr:nvSpPr>
        <xdr:cNvPr id="67" name="Line 107"/>
        <xdr:cNvSpPr>
          <a:spLocks/>
        </xdr:cNvSpPr>
      </xdr:nvSpPr>
      <xdr:spPr>
        <a:xfrm>
          <a:off x="19278600" y="7648575"/>
          <a:ext cx="52578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28575</xdr:colOff>
      <xdr:row>56</xdr:row>
      <xdr:rowOff>200025</xdr:rowOff>
    </xdr:from>
    <xdr:to>
      <xdr:col>43</xdr:col>
      <xdr:colOff>0</xdr:colOff>
      <xdr:row>57</xdr:row>
      <xdr:rowOff>200025</xdr:rowOff>
    </xdr:to>
    <xdr:sp>
      <xdr:nvSpPr>
        <xdr:cNvPr id="68" name="TextBox 108"/>
        <xdr:cNvSpPr txBox="1">
          <a:spLocks noChangeArrowheads="1"/>
        </xdr:cNvSpPr>
      </xdr:nvSpPr>
      <xdr:spPr>
        <a:xfrm>
          <a:off x="12620625" y="12982575"/>
          <a:ext cx="606742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7</xdr:row>
      <xdr:rowOff>219075</xdr:rowOff>
    </xdr:from>
    <xdr:to>
      <xdr:col>34</xdr:col>
      <xdr:colOff>0</xdr:colOff>
      <xdr:row>8</xdr:row>
      <xdr:rowOff>200025</xdr:rowOff>
    </xdr:to>
    <xdr:sp>
      <xdr:nvSpPr>
        <xdr:cNvPr id="69" name="TextBox 109"/>
        <xdr:cNvSpPr txBox="1">
          <a:spLocks noChangeArrowheads="1"/>
        </xdr:cNvSpPr>
      </xdr:nvSpPr>
      <xdr:spPr>
        <a:xfrm>
          <a:off x="12592050" y="1333500"/>
          <a:ext cx="186690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17</xdr:row>
      <xdr:rowOff>219075</xdr:rowOff>
    </xdr:from>
    <xdr:to>
      <xdr:col>43</xdr:col>
      <xdr:colOff>19050</xdr:colOff>
      <xdr:row>18</xdr:row>
      <xdr:rowOff>200025</xdr:rowOff>
    </xdr:to>
    <xdr:sp>
      <xdr:nvSpPr>
        <xdr:cNvPr id="70" name="TextBox 110"/>
        <xdr:cNvSpPr txBox="1">
          <a:spLocks noChangeArrowheads="1"/>
        </xdr:cNvSpPr>
      </xdr:nvSpPr>
      <xdr:spPr>
        <a:xfrm>
          <a:off x="12592050" y="3714750"/>
          <a:ext cx="61150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0</xdr:colOff>
      <xdr:row>38</xdr:row>
      <xdr:rowOff>180975</xdr:rowOff>
    </xdr:from>
    <xdr:to>
      <xdr:col>55</xdr:col>
      <xdr:colOff>438150</xdr:colOff>
      <xdr:row>39</xdr:row>
      <xdr:rowOff>200025</xdr:rowOff>
    </xdr:to>
    <xdr:sp>
      <xdr:nvSpPr>
        <xdr:cNvPr id="71" name="TextBox 111"/>
        <xdr:cNvSpPr txBox="1">
          <a:spLocks noChangeArrowheads="1"/>
        </xdr:cNvSpPr>
      </xdr:nvSpPr>
      <xdr:spPr>
        <a:xfrm>
          <a:off x="19154775" y="8677275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0</xdr:colOff>
      <xdr:row>13</xdr:row>
      <xdr:rowOff>228600</xdr:rowOff>
    </xdr:from>
    <xdr:to>
      <xdr:col>43</xdr:col>
      <xdr:colOff>0</xdr:colOff>
      <xdr:row>14</xdr:row>
      <xdr:rowOff>190500</xdr:rowOff>
    </xdr:to>
    <xdr:sp>
      <xdr:nvSpPr>
        <xdr:cNvPr id="72" name="TextBox 112"/>
        <xdr:cNvSpPr txBox="1">
          <a:spLocks noChangeArrowheads="1"/>
        </xdr:cNvSpPr>
      </xdr:nvSpPr>
      <xdr:spPr>
        <a:xfrm>
          <a:off x="14954250" y="2771775"/>
          <a:ext cx="37338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9525</xdr:colOff>
      <xdr:row>7</xdr:row>
      <xdr:rowOff>219075</xdr:rowOff>
    </xdr:from>
    <xdr:to>
      <xdr:col>41</xdr:col>
      <xdr:colOff>9525</xdr:colOff>
      <xdr:row>8</xdr:row>
      <xdr:rowOff>200025</xdr:rowOff>
    </xdr:to>
    <xdr:sp>
      <xdr:nvSpPr>
        <xdr:cNvPr id="73" name="TextBox 113"/>
        <xdr:cNvSpPr txBox="1">
          <a:spLocks noChangeArrowheads="1"/>
        </xdr:cNvSpPr>
      </xdr:nvSpPr>
      <xdr:spPr>
        <a:xfrm>
          <a:off x="14963775" y="1333500"/>
          <a:ext cx="28003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9525</xdr:colOff>
      <xdr:row>17</xdr:row>
      <xdr:rowOff>200025</xdr:rowOff>
    </xdr:from>
    <xdr:to>
      <xdr:col>56</xdr:col>
      <xdr:colOff>9525</xdr:colOff>
      <xdr:row>18</xdr:row>
      <xdr:rowOff>200025</xdr:rowOff>
    </xdr:to>
    <xdr:sp>
      <xdr:nvSpPr>
        <xdr:cNvPr id="74" name="TextBox 114"/>
        <xdr:cNvSpPr txBox="1">
          <a:spLocks noChangeArrowheads="1"/>
        </xdr:cNvSpPr>
      </xdr:nvSpPr>
      <xdr:spPr>
        <a:xfrm>
          <a:off x="19164300" y="3695700"/>
          <a:ext cx="56007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44</xdr:col>
      <xdr:colOff>0</xdr:colOff>
      <xdr:row>43</xdr:row>
      <xdr:rowOff>180975</xdr:rowOff>
    </xdr:from>
    <xdr:to>
      <xdr:col>55</xdr:col>
      <xdr:colOff>438150</xdr:colOff>
      <xdr:row>44</xdr:row>
      <xdr:rowOff>200025</xdr:rowOff>
    </xdr:to>
    <xdr:sp>
      <xdr:nvSpPr>
        <xdr:cNvPr id="75" name="TextBox 115"/>
        <xdr:cNvSpPr txBox="1">
          <a:spLocks noChangeArrowheads="1"/>
        </xdr:cNvSpPr>
      </xdr:nvSpPr>
      <xdr:spPr>
        <a:xfrm>
          <a:off x="19154775" y="9867900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0</xdr:colOff>
      <xdr:row>56</xdr:row>
      <xdr:rowOff>104775</xdr:rowOff>
    </xdr:from>
    <xdr:to>
      <xdr:col>50</xdr:col>
      <xdr:colOff>28575</xdr:colOff>
      <xdr:row>57</xdr:row>
      <xdr:rowOff>123825</xdr:rowOff>
    </xdr:to>
    <xdr:sp>
      <xdr:nvSpPr>
        <xdr:cNvPr id="76" name="TextBox 116"/>
        <xdr:cNvSpPr txBox="1">
          <a:spLocks noChangeArrowheads="1"/>
        </xdr:cNvSpPr>
      </xdr:nvSpPr>
      <xdr:spPr>
        <a:xfrm>
          <a:off x="19154775" y="12887325"/>
          <a:ext cx="28289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Rage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42</xdr:col>
      <xdr:colOff>9525</xdr:colOff>
      <xdr:row>7</xdr:row>
      <xdr:rowOff>228600</xdr:rowOff>
    </xdr:from>
    <xdr:to>
      <xdr:col>48</xdr:col>
      <xdr:colOff>9525</xdr:colOff>
      <xdr:row>8</xdr:row>
      <xdr:rowOff>200025</xdr:rowOff>
    </xdr:to>
    <xdr:sp>
      <xdr:nvSpPr>
        <xdr:cNvPr id="77" name="TextBox 118"/>
        <xdr:cNvSpPr txBox="1">
          <a:spLocks noChangeArrowheads="1"/>
        </xdr:cNvSpPr>
      </xdr:nvSpPr>
      <xdr:spPr>
        <a:xfrm>
          <a:off x="18230850" y="1343025"/>
          <a:ext cx="28003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53</xdr:col>
      <xdr:colOff>28575</xdr:colOff>
      <xdr:row>35</xdr:row>
      <xdr:rowOff>0</xdr:rowOff>
    </xdr:from>
    <xdr:to>
      <xdr:col>53</xdr:col>
      <xdr:colOff>95250</xdr:colOff>
      <xdr:row>36</xdr:row>
      <xdr:rowOff>47625</xdr:rowOff>
    </xdr:to>
    <xdr:sp>
      <xdr:nvSpPr>
        <xdr:cNvPr id="78" name="Rectangle 119"/>
        <xdr:cNvSpPr>
          <a:spLocks/>
        </xdr:cNvSpPr>
      </xdr:nvSpPr>
      <xdr:spPr>
        <a:xfrm>
          <a:off x="23383875" y="7781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34</xdr:row>
      <xdr:rowOff>200025</xdr:rowOff>
    </xdr:from>
    <xdr:to>
      <xdr:col>53</xdr:col>
      <xdr:colOff>66675</xdr:colOff>
      <xdr:row>36</xdr:row>
      <xdr:rowOff>9525</xdr:rowOff>
    </xdr:to>
    <xdr:sp>
      <xdr:nvSpPr>
        <xdr:cNvPr id="79" name="Rectangle 120"/>
        <xdr:cNvSpPr>
          <a:spLocks/>
        </xdr:cNvSpPr>
      </xdr:nvSpPr>
      <xdr:spPr>
        <a:xfrm>
          <a:off x="23355300" y="77438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171450</xdr:colOff>
      <xdr:row>27</xdr:row>
      <xdr:rowOff>142875</xdr:rowOff>
    </xdr:from>
    <xdr:to>
      <xdr:col>37</xdr:col>
      <xdr:colOff>333375</xdr:colOff>
      <xdr:row>27</xdr:row>
      <xdr:rowOff>142875</xdr:rowOff>
    </xdr:to>
    <xdr:sp>
      <xdr:nvSpPr>
        <xdr:cNvPr id="80" name="Line 121"/>
        <xdr:cNvSpPr>
          <a:spLocks/>
        </xdr:cNvSpPr>
      </xdr:nvSpPr>
      <xdr:spPr>
        <a:xfrm>
          <a:off x="16059150" y="601980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27</xdr:row>
      <xdr:rowOff>123825</xdr:rowOff>
    </xdr:from>
    <xdr:to>
      <xdr:col>37</xdr:col>
      <xdr:colOff>457200</xdr:colOff>
      <xdr:row>27</xdr:row>
      <xdr:rowOff>123825</xdr:rowOff>
    </xdr:to>
    <xdr:sp>
      <xdr:nvSpPr>
        <xdr:cNvPr id="81" name="Line 122"/>
        <xdr:cNvSpPr>
          <a:spLocks/>
        </xdr:cNvSpPr>
      </xdr:nvSpPr>
      <xdr:spPr>
        <a:xfrm>
          <a:off x="16002000" y="600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43</xdr:row>
      <xdr:rowOff>123825</xdr:rowOff>
    </xdr:from>
    <xdr:to>
      <xdr:col>37</xdr:col>
      <xdr:colOff>457200</xdr:colOff>
      <xdr:row>43</xdr:row>
      <xdr:rowOff>123825</xdr:rowOff>
    </xdr:to>
    <xdr:sp>
      <xdr:nvSpPr>
        <xdr:cNvPr id="82" name="Line 123"/>
        <xdr:cNvSpPr>
          <a:spLocks/>
        </xdr:cNvSpPr>
      </xdr:nvSpPr>
      <xdr:spPr>
        <a:xfrm>
          <a:off x="16002000" y="981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23</xdr:row>
      <xdr:rowOff>123825</xdr:rowOff>
    </xdr:from>
    <xdr:to>
      <xdr:col>37</xdr:col>
      <xdr:colOff>457200</xdr:colOff>
      <xdr:row>23</xdr:row>
      <xdr:rowOff>123825</xdr:rowOff>
    </xdr:to>
    <xdr:sp>
      <xdr:nvSpPr>
        <xdr:cNvPr id="83" name="Line 124"/>
        <xdr:cNvSpPr>
          <a:spLocks/>
        </xdr:cNvSpPr>
      </xdr:nvSpPr>
      <xdr:spPr>
        <a:xfrm>
          <a:off x="16002000" y="50482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28</xdr:row>
      <xdr:rowOff>0</xdr:rowOff>
    </xdr:from>
    <xdr:to>
      <xdr:col>53</xdr:col>
      <xdr:colOff>95250</xdr:colOff>
      <xdr:row>29</xdr:row>
      <xdr:rowOff>47625</xdr:rowOff>
    </xdr:to>
    <xdr:sp>
      <xdr:nvSpPr>
        <xdr:cNvPr id="84" name="Rectangle 125"/>
        <xdr:cNvSpPr>
          <a:spLocks/>
        </xdr:cNvSpPr>
      </xdr:nvSpPr>
      <xdr:spPr>
        <a:xfrm>
          <a:off x="23383875" y="61150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200025</xdr:rowOff>
    </xdr:from>
    <xdr:to>
      <xdr:col>53</xdr:col>
      <xdr:colOff>66675</xdr:colOff>
      <xdr:row>29</xdr:row>
      <xdr:rowOff>9525</xdr:rowOff>
    </xdr:to>
    <xdr:sp>
      <xdr:nvSpPr>
        <xdr:cNvPr id="85" name="Rectangle 126"/>
        <xdr:cNvSpPr>
          <a:spLocks/>
        </xdr:cNvSpPr>
      </xdr:nvSpPr>
      <xdr:spPr>
        <a:xfrm>
          <a:off x="23355300" y="60769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29</xdr:row>
      <xdr:rowOff>0</xdr:rowOff>
    </xdr:from>
    <xdr:to>
      <xdr:col>53</xdr:col>
      <xdr:colOff>95250</xdr:colOff>
      <xdr:row>30</xdr:row>
      <xdr:rowOff>0</xdr:rowOff>
    </xdr:to>
    <xdr:sp>
      <xdr:nvSpPr>
        <xdr:cNvPr id="86" name="Rectangle 127"/>
        <xdr:cNvSpPr>
          <a:spLocks/>
        </xdr:cNvSpPr>
      </xdr:nvSpPr>
      <xdr:spPr>
        <a:xfrm>
          <a:off x="23383875" y="6353175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200025</xdr:rowOff>
    </xdr:from>
    <xdr:to>
      <xdr:col>53</xdr:col>
      <xdr:colOff>66675</xdr:colOff>
      <xdr:row>30</xdr:row>
      <xdr:rowOff>0</xdr:rowOff>
    </xdr:to>
    <xdr:sp>
      <xdr:nvSpPr>
        <xdr:cNvPr id="87" name="Rectangle 128"/>
        <xdr:cNvSpPr>
          <a:spLocks/>
        </xdr:cNvSpPr>
      </xdr:nvSpPr>
      <xdr:spPr>
        <a:xfrm>
          <a:off x="23355300" y="6315075"/>
          <a:ext cx="66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104775</xdr:rowOff>
    </xdr:from>
    <xdr:to>
      <xdr:col>55</xdr:col>
      <xdr:colOff>295275</xdr:colOff>
      <xdr:row>30</xdr:row>
      <xdr:rowOff>104775</xdr:rowOff>
    </xdr:to>
    <xdr:sp>
      <xdr:nvSpPr>
        <xdr:cNvPr id="88" name="Line 129"/>
        <xdr:cNvSpPr>
          <a:spLocks/>
        </xdr:cNvSpPr>
      </xdr:nvSpPr>
      <xdr:spPr>
        <a:xfrm>
          <a:off x="19288125" y="6696075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85725</xdr:colOff>
      <xdr:row>20</xdr:row>
      <xdr:rowOff>104775</xdr:rowOff>
    </xdr:from>
    <xdr:to>
      <xdr:col>37</xdr:col>
      <xdr:colOff>428625</xdr:colOff>
      <xdr:row>20</xdr:row>
      <xdr:rowOff>104775</xdr:rowOff>
    </xdr:to>
    <xdr:sp>
      <xdr:nvSpPr>
        <xdr:cNvPr id="89" name="Line 130"/>
        <xdr:cNvSpPr>
          <a:spLocks/>
        </xdr:cNvSpPr>
      </xdr:nvSpPr>
      <xdr:spPr>
        <a:xfrm>
          <a:off x="15973425" y="43148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27</xdr:row>
      <xdr:rowOff>104775</xdr:rowOff>
    </xdr:from>
    <xdr:to>
      <xdr:col>55</xdr:col>
      <xdr:colOff>295275</xdr:colOff>
      <xdr:row>27</xdr:row>
      <xdr:rowOff>104775</xdr:rowOff>
    </xdr:to>
    <xdr:sp>
      <xdr:nvSpPr>
        <xdr:cNvPr id="90" name="Line 153"/>
        <xdr:cNvSpPr>
          <a:spLocks/>
        </xdr:cNvSpPr>
      </xdr:nvSpPr>
      <xdr:spPr>
        <a:xfrm>
          <a:off x="19288125" y="5981700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85725</xdr:colOff>
      <xdr:row>23</xdr:row>
      <xdr:rowOff>114300</xdr:rowOff>
    </xdr:from>
    <xdr:to>
      <xdr:col>55</xdr:col>
      <xdr:colOff>219075</xdr:colOff>
      <xdr:row>23</xdr:row>
      <xdr:rowOff>114300</xdr:rowOff>
    </xdr:to>
    <xdr:sp>
      <xdr:nvSpPr>
        <xdr:cNvPr id="91" name="Line 154"/>
        <xdr:cNvSpPr>
          <a:spLocks/>
        </xdr:cNvSpPr>
      </xdr:nvSpPr>
      <xdr:spPr>
        <a:xfrm flipV="1">
          <a:off x="19240500" y="5038725"/>
          <a:ext cx="52673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266700</xdr:colOff>
      <xdr:row>44</xdr:row>
      <xdr:rowOff>142875</xdr:rowOff>
    </xdr:from>
    <xdr:to>
      <xdr:col>42</xdr:col>
      <xdr:colOff>85725</xdr:colOff>
      <xdr:row>44</xdr:row>
      <xdr:rowOff>142875</xdr:rowOff>
    </xdr:to>
    <xdr:sp>
      <xdr:nvSpPr>
        <xdr:cNvPr id="92" name="Line 155"/>
        <xdr:cNvSpPr>
          <a:spLocks/>
        </xdr:cNvSpPr>
      </xdr:nvSpPr>
      <xdr:spPr>
        <a:xfrm>
          <a:off x="12858750" y="10067925"/>
          <a:ext cx="54483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20</xdr:row>
      <xdr:rowOff>0</xdr:rowOff>
    </xdr:from>
    <xdr:to>
      <xdr:col>53</xdr:col>
      <xdr:colOff>66675</xdr:colOff>
      <xdr:row>20</xdr:row>
      <xdr:rowOff>219075</xdr:rowOff>
    </xdr:to>
    <xdr:sp>
      <xdr:nvSpPr>
        <xdr:cNvPr id="93" name="Rectangle 156"/>
        <xdr:cNvSpPr>
          <a:spLocks/>
        </xdr:cNvSpPr>
      </xdr:nvSpPr>
      <xdr:spPr>
        <a:xfrm>
          <a:off x="23364825" y="4210050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9525</xdr:colOff>
      <xdr:row>23</xdr:row>
      <xdr:rowOff>190500</xdr:rowOff>
    </xdr:from>
    <xdr:to>
      <xdr:col>53</xdr:col>
      <xdr:colOff>85725</xdr:colOff>
      <xdr:row>24</xdr:row>
      <xdr:rowOff>228600</xdr:rowOff>
    </xdr:to>
    <xdr:sp>
      <xdr:nvSpPr>
        <xdr:cNvPr id="94" name="Rectangle 157"/>
        <xdr:cNvSpPr>
          <a:spLocks/>
        </xdr:cNvSpPr>
      </xdr:nvSpPr>
      <xdr:spPr>
        <a:xfrm>
          <a:off x="23364825" y="5114925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31</xdr:row>
      <xdr:rowOff>0</xdr:rowOff>
    </xdr:from>
    <xdr:to>
      <xdr:col>53</xdr:col>
      <xdr:colOff>66675</xdr:colOff>
      <xdr:row>32</xdr:row>
      <xdr:rowOff>9525</xdr:rowOff>
    </xdr:to>
    <xdr:sp>
      <xdr:nvSpPr>
        <xdr:cNvPr id="95" name="Rectangle 158"/>
        <xdr:cNvSpPr>
          <a:spLocks/>
        </xdr:cNvSpPr>
      </xdr:nvSpPr>
      <xdr:spPr>
        <a:xfrm>
          <a:off x="23355300" y="68294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49</xdr:col>
      <xdr:colOff>209550</xdr:colOff>
      <xdr:row>16</xdr:row>
      <xdr:rowOff>0</xdr:rowOff>
    </xdr:from>
    <xdr:to>
      <xdr:col>55</xdr:col>
      <xdr:colOff>209550</xdr:colOff>
      <xdr:row>16</xdr:row>
      <xdr:rowOff>0</xdr:rowOff>
    </xdr:to>
    <xdr:sp>
      <xdr:nvSpPr>
        <xdr:cNvPr id="96" name="Line 159"/>
        <xdr:cNvSpPr>
          <a:spLocks/>
        </xdr:cNvSpPr>
      </xdr:nvSpPr>
      <xdr:spPr>
        <a:xfrm>
          <a:off x="21697950" y="3257550"/>
          <a:ext cx="28003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123825</xdr:colOff>
      <xdr:row>34</xdr:row>
      <xdr:rowOff>104775</xdr:rowOff>
    </xdr:from>
    <xdr:to>
      <xdr:col>55</xdr:col>
      <xdr:colOff>247650</xdr:colOff>
      <xdr:row>34</xdr:row>
      <xdr:rowOff>104775</xdr:rowOff>
    </xdr:to>
    <xdr:sp>
      <xdr:nvSpPr>
        <xdr:cNvPr id="97" name="Line 160"/>
        <xdr:cNvSpPr>
          <a:spLocks/>
        </xdr:cNvSpPr>
      </xdr:nvSpPr>
      <xdr:spPr>
        <a:xfrm>
          <a:off x="19278600" y="7648575"/>
          <a:ext cx="52578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30</xdr:col>
      <xdr:colOff>28575</xdr:colOff>
      <xdr:row>56</xdr:row>
      <xdr:rowOff>200025</xdr:rowOff>
    </xdr:from>
    <xdr:to>
      <xdr:col>43</xdr:col>
      <xdr:colOff>0</xdr:colOff>
      <xdr:row>57</xdr:row>
      <xdr:rowOff>200025</xdr:rowOff>
    </xdr:to>
    <xdr:sp>
      <xdr:nvSpPr>
        <xdr:cNvPr id="98" name="TextBox 161"/>
        <xdr:cNvSpPr txBox="1">
          <a:spLocks noChangeArrowheads="1"/>
        </xdr:cNvSpPr>
      </xdr:nvSpPr>
      <xdr:spPr>
        <a:xfrm>
          <a:off x="12620625" y="12982575"/>
          <a:ext cx="606742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7</xdr:row>
      <xdr:rowOff>219075</xdr:rowOff>
    </xdr:from>
    <xdr:to>
      <xdr:col>34</xdr:col>
      <xdr:colOff>0</xdr:colOff>
      <xdr:row>8</xdr:row>
      <xdr:rowOff>200025</xdr:rowOff>
    </xdr:to>
    <xdr:sp>
      <xdr:nvSpPr>
        <xdr:cNvPr id="99" name="TextBox 162"/>
        <xdr:cNvSpPr txBox="1">
          <a:spLocks noChangeArrowheads="1"/>
        </xdr:cNvSpPr>
      </xdr:nvSpPr>
      <xdr:spPr>
        <a:xfrm>
          <a:off x="12592050" y="1333500"/>
          <a:ext cx="186690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30</xdr:col>
      <xdr:colOff>0</xdr:colOff>
      <xdr:row>17</xdr:row>
      <xdr:rowOff>219075</xdr:rowOff>
    </xdr:from>
    <xdr:to>
      <xdr:col>43</xdr:col>
      <xdr:colOff>19050</xdr:colOff>
      <xdr:row>18</xdr:row>
      <xdr:rowOff>200025</xdr:rowOff>
    </xdr:to>
    <xdr:sp>
      <xdr:nvSpPr>
        <xdr:cNvPr id="100" name="TextBox 163"/>
        <xdr:cNvSpPr txBox="1">
          <a:spLocks noChangeArrowheads="1"/>
        </xdr:cNvSpPr>
      </xdr:nvSpPr>
      <xdr:spPr>
        <a:xfrm>
          <a:off x="12592050" y="3714750"/>
          <a:ext cx="61150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0</xdr:colOff>
      <xdr:row>38</xdr:row>
      <xdr:rowOff>180975</xdr:rowOff>
    </xdr:from>
    <xdr:to>
      <xdr:col>55</xdr:col>
      <xdr:colOff>438150</xdr:colOff>
      <xdr:row>39</xdr:row>
      <xdr:rowOff>200025</xdr:rowOff>
    </xdr:to>
    <xdr:sp>
      <xdr:nvSpPr>
        <xdr:cNvPr id="101" name="TextBox 164"/>
        <xdr:cNvSpPr txBox="1">
          <a:spLocks noChangeArrowheads="1"/>
        </xdr:cNvSpPr>
      </xdr:nvSpPr>
      <xdr:spPr>
        <a:xfrm>
          <a:off x="19154775" y="8677275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0</xdr:colOff>
      <xdr:row>13</xdr:row>
      <xdr:rowOff>228600</xdr:rowOff>
    </xdr:from>
    <xdr:to>
      <xdr:col>42</xdr:col>
      <xdr:colOff>457200</xdr:colOff>
      <xdr:row>14</xdr:row>
      <xdr:rowOff>219075</xdr:rowOff>
    </xdr:to>
    <xdr:sp>
      <xdr:nvSpPr>
        <xdr:cNvPr id="102" name="TextBox 165"/>
        <xdr:cNvSpPr txBox="1">
          <a:spLocks noChangeArrowheads="1"/>
        </xdr:cNvSpPr>
      </xdr:nvSpPr>
      <xdr:spPr>
        <a:xfrm>
          <a:off x="14954250" y="2771775"/>
          <a:ext cx="3724275" cy="2286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35</xdr:col>
      <xdr:colOff>9525</xdr:colOff>
      <xdr:row>7</xdr:row>
      <xdr:rowOff>219075</xdr:rowOff>
    </xdr:from>
    <xdr:to>
      <xdr:col>41</xdr:col>
      <xdr:colOff>9525</xdr:colOff>
      <xdr:row>8</xdr:row>
      <xdr:rowOff>200025</xdr:rowOff>
    </xdr:to>
    <xdr:sp>
      <xdr:nvSpPr>
        <xdr:cNvPr id="103" name="TextBox 166"/>
        <xdr:cNvSpPr txBox="1">
          <a:spLocks noChangeArrowheads="1"/>
        </xdr:cNvSpPr>
      </xdr:nvSpPr>
      <xdr:spPr>
        <a:xfrm>
          <a:off x="14963775" y="1333500"/>
          <a:ext cx="280035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9525</xdr:colOff>
      <xdr:row>17</xdr:row>
      <xdr:rowOff>200025</xdr:rowOff>
    </xdr:from>
    <xdr:to>
      <xdr:col>56</xdr:col>
      <xdr:colOff>9525</xdr:colOff>
      <xdr:row>18</xdr:row>
      <xdr:rowOff>200025</xdr:rowOff>
    </xdr:to>
    <xdr:sp>
      <xdr:nvSpPr>
        <xdr:cNvPr id="104" name="TextBox 167"/>
        <xdr:cNvSpPr txBox="1">
          <a:spLocks noChangeArrowheads="1"/>
        </xdr:cNvSpPr>
      </xdr:nvSpPr>
      <xdr:spPr>
        <a:xfrm>
          <a:off x="19164300" y="3695700"/>
          <a:ext cx="56007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44</xdr:col>
      <xdr:colOff>0</xdr:colOff>
      <xdr:row>43</xdr:row>
      <xdr:rowOff>180975</xdr:rowOff>
    </xdr:from>
    <xdr:to>
      <xdr:col>55</xdr:col>
      <xdr:colOff>438150</xdr:colOff>
      <xdr:row>44</xdr:row>
      <xdr:rowOff>200025</xdr:rowOff>
    </xdr:to>
    <xdr:sp>
      <xdr:nvSpPr>
        <xdr:cNvPr id="105" name="TextBox 168"/>
        <xdr:cNvSpPr txBox="1">
          <a:spLocks noChangeArrowheads="1"/>
        </xdr:cNvSpPr>
      </xdr:nvSpPr>
      <xdr:spPr>
        <a:xfrm>
          <a:off x="19154775" y="9867900"/>
          <a:ext cx="55721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44</xdr:col>
      <xdr:colOff>0</xdr:colOff>
      <xdr:row>56</xdr:row>
      <xdr:rowOff>104775</xdr:rowOff>
    </xdr:from>
    <xdr:to>
      <xdr:col>50</xdr:col>
      <xdr:colOff>28575</xdr:colOff>
      <xdr:row>57</xdr:row>
      <xdr:rowOff>123825</xdr:rowOff>
    </xdr:to>
    <xdr:sp>
      <xdr:nvSpPr>
        <xdr:cNvPr id="106" name="TextBox 169"/>
        <xdr:cNvSpPr txBox="1">
          <a:spLocks noChangeArrowheads="1"/>
        </xdr:cNvSpPr>
      </xdr:nvSpPr>
      <xdr:spPr>
        <a:xfrm>
          <a:off x="19154775" y="12887325"/>
          <a:ext cx="28289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Rage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49</xdr:col>
      <xdr:colOff>0</xdr:colOff>
      <xdr:row>7</xdr:row>
      <xdr:rowOff>219075</xdr:rowOff>
    </xdr:from>
    <xdr:to>
      <xdr:col>56</xdr:col>
      <xdr:colOff>9525</xdr:colOff>
      <xdr:row>8</xdr:row>
      <xdr:rowOff>200025</xdr:rowOff>
    </xdr:to>
    <xdr:sp>
      <xdr:nvSpPr>
        <xdr:cNvPr id="107" name="TextBox 170"/>
        <xdr:cNvSpPr txBox="1">
          <a:spLocks noChangeArrowheads="1"/>
        </xdr:cNvSpPr>
      </xdr:nvSpPr>
      <xdr:spPr>
        <a:xfrm>
          <a:off x="21488400" y="1333500"/>
          <a:ext cx="3276600" cy="219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
 til alle AC!
</a:t>
          </a:r>
        </a:p>
      </xdr:txBody>
    </xdr:sp>
    <xdr:clientData/>
  </xdr:twoCellAnchor>
  <xdr:twoCellAnchor>
    <xdr:from>
      <xdr:col>42</xdr:col>
      <xdr:colOff>9525</xdr:colOff>
      <xdr:row>7</xdr:row>
      <xdr:rowOff>228600</xdr:rowOff>
    </xdr:from>
    <xdr:to>
      <xdr:col>48</xdr:col>
      <xdr:colOff>9525</xdr:colOff>
      <xdr:row>8</xdr:row>
      <xdr:rowOff>200025</xdr:rowOff>
    </xdr:to>
    <xdr:sp>
      <xdr:nvSpPr>
        <xdr:cNvPr id="108" name="TextBox 171"/>
        <xdr:cNvSpPr txBox="1">
          <a:spLocks noChangeArrowheads="1"/>
        </xdr:cNvSpPr>
      </xdr:nvSpPr>
      <xdr:spPr>
        <a:xfrm>
          <a:off x="18230850" y="1343025"/>
          <a:ext cx="28003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53</xdr:col>
      <xdr:colOff>28575</xdr:colOff>
      <xdr:row>35</xdr:row>
      <xdr:rowOff>0</xdr:rowOff>
    </xdr:from>
    <xdr:to>
      <xdr:col>53</xdr:col>
      <xdr:colOff>95250</xdr:colOff>
      <xdr:row>36</xdr:row>
      <xdr:rowOff>47625</xdr:rowOff>
    </xdr:to>
    <xdr:sp>
      <xdr:nvSpPr>
        <xdr:cNvPr id="109" name="Rectangle 172"/>
        <xdr:cNvSpPr>
          <a:spLocks/>
        </xdr:cNvSpPr>
      </xdr:nvSpPr>
      <xdr:spPr>
        <a:xfrm>
          <a:off x="23383875" y="7781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34</xdr:row>
      <xdr:rowOff>200025</xdr:rowOff>
    </xdr:from>
    <xdr:to>
      <xdr:col>53</xdr:col>
      <xdr:colOff>66675</xdr:colOff>
      <xdr:row>36</xdr:row>
      <xdr:rowOff>9525</xdr:rowOff>
    </xdr:to>
    <xdr:sp>
      <xdr:nvSpPr>
        <xdr:cNvPr id="110" name="Rectangle 173"/>
        <xdr:cNvSpPr>
          <a:spLocks/>
        </xdr:cNvSpPr>
      </xdr:nvSpPr>
      <xdr:spPr>
        <a:xfrm>
          <a:off x="23355300" y="77438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171450</xdr:colOff>
      <xdr:row>27</xdr:row>
      <xdr:rowOff>142875</xdr:rowOff>
    </xdr:from>
    <xdr:to>
      <xdr:col>37</xdr:col>
      <xdr:colOff>333375</xdr:colOff>
      <xdr:row>27</xdr:row>
      <xdr:rowOff>142875</xdr:rowOff>
    </xdr:to>
    <xdr:sp>
      <xdr:nvSpPr>
        <xdr:cNvPr id="111" name="Line 174"/>
        <xdr:cNvSpPr>
          <a:spLocks/>
        </xdr:cNvSpPr>
      </xdr:nvSpPr>
      <xdr:spPr>
        <a:xfrm>
          <a:off x="16059150" y="601980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27</xdr:row>
      <xdr:rowOff>123825</xdr:rowOff>
    </xdr:from>
    <xdr:to>
      <xdr:col>37</xdr:col>
      <xdr:colOff>457200</xdr:colOff>
      <xdr:row>27</xdr:row>
      <xdr:rowOff>123825</xdr:rowOff>
    </xdr:to>
    <xdr:sp>
      <xdr:nvSpPr>
        <xdr:cNvPr id="112" name="Line 175"/>
        <xdr:cNvSpPr>
          <a:spLocks/>
        </xdr:cNvSpPr>
      </xdr:nvSpPr>
      <xdr:spPr>
        <a:xfrm>
          <a:off x="16002000" y="600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43</xdr:row>
      <xdr:rowOff>123825</xdr:rowOff>
    </xdr:from>
    <xdr:to>
      <xdr:col>37</xdr:col>
      <xdr:colOff>457200</xdr:colOff>
      <xdr:row>43</xdr:row>
      <xdr:rowOff>123825</xdr:rowOff>
    </xdr:to>
    <xdr:sp>
      <xdr:nvSpPr>
        <xdr:cNvPr id="113" name="Line 176"/>
        <xdr:cNvSpPr>
          <a:spLocks/>
        </xdr:cNvSpPr>
      </xdr:nvSpPr>
      <xdr:spPr>
        <a:xfrm>
          <a:off x="16002000" y="98107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114300</xdr:colOff>
      <xdr:row>23</xdr:row>
      <xdr:rowOff>123825</xdr:rowOff>
    </xdr:from>
    <xdr:to>
      <xdr:col>37</xdr:col>
      <xdr:colOff>457200</xdr:colOff>
      <xdr:row>23</xdr:row>
      <xdr:rowOff>123825</xdr:rowOff>
    </xdr:to>
    <xdr:sp>
      <xdr:nvSpPr>
        <xdr:cNvPr id="114" name="Line 177"/>
        <xdr:cNvSpPr>
          <a:spLocks/>
        </xdr:cNvSpPr>
      </xdr:nvSpPr>
      <xdr:spPr>
        <a:xfrm>
          <a:off x="16002000" y="5048250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28</xdr:row>
      <xdr:rowOff>0</xdr:rowOff>
    </xdr:from>
    <xdr:to>
      <xdr:col>53</xdr:col>
      <xdr:colOff>95250</xdr:colOff>
      <xdr:row>29</xdr:row>
      <xdr:rowOff>47625</xdr:rowOff>
    </xdr:to>
    <xdr:sp>
      <xdr:nvSpPr>
        <xdr:cNvPr id="115" name="Rectangle 178"/>
        <xdr:cNvSpPr>
          <a:spLocks/>
        </xdr:cNvSpPr>
      </xdr:nvSpPr>
      <xdr:spPr>
        <a:xfrm>
          <a:off x="23383875" y="61150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200025</xdr:rowOff>
    </xdr:from>
    <xdr:to>
      <xdr:col>53</xdr:col>
      <xdr:colOff>66675</xdr:colOff>
      <xdr:row>29</xdr:row>
      <xdr:rowOff>9525</xdr:rowOff>
    </xdr:to>
    <xdr:sp>
      <xdr:nvSpPr>
        <xdr:cNvPr id="116" name="Rectangle 179"/>
        <xdr:cNvSpPr>
          <a:spLocks/>
        </xdr:cNvSpPr>
      </xdr:nvSpPr>
      <xdr:spPr>
        <a:xfrm>
          <a:off x="23355300" y="6076950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28575</xdr:colOff>
      <xdr:row>29</xdr:row>
      <xdr:rowOff>0</xdr:rowOff>
    </xdr:from>
    <xdr:to>
      <xdr:col>53</xdr:col>
      <xdr:colOff>95250</xdr:colOff>
      <xdr:row>30</xdr:row>
      <xdr:rowOff>0</xdr:rowOff>
    </xdr:to>
    <xdr:sp>
      <xdr:nvSpPr>
        <xdr:cNvPr id="117" name="Rectangle 180"/>
        <xdr:cNvSpPr>
          <a:spLocks/>
        </xdr:cNvSpPr>
      </xdr:nvSpPr>
      <xdr:spPr>
        <a:xfrm>
          <a:off x="23383875" y="6353175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200025</xdr:rowOff>
    </xdr:from>
    <xdr:to>
      <xdr:col>53</xdr:col>
      <xdr:colOff>66675</xdr:colOff>
      <xdr:row>30</xdr:row>
      <xdr:rowOff>0</xdr:rowOff>
    </xdr:to>
    <xdr:sp>
      <xdr:nvSpPr>
        <xdr:cNvPr id="118" name="Rectangle 181"/>
        <xdr:cNvSpPr>
          <a:spLocks/>
        </xdr:cNvSpPr>
      </xdr:nvSpPr>
      <xdr:spPr>
        <a:xfrm>
          <a:off x="23355300" y="6315075"/>
          <a:ext cx="66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104775</xdr:rowOff>
    </xdr:from>
    <xdr:to>
      <xdr:col>55</xdr:col>
      <xdr:colOff>295275</xdr:colOff>
      <xdr:row>30</xdr:row>
      <xdr:rowOff>104775</xdr:rowOff>
    </xdr:to>
    <xdr:sp>
      <xdr:nvSpPr>
        <xdr:cNvPr id="119" name="Line 182"/>
        <xdr:cNvSpPr>
          <a:spLocks/>
        </xdr:cNvSpPr>
      </xdr:nvSpPr>
      <xdr:spPr>
        <a:xfrm>
          <a:off x="19288125" y="6696075"/>
          <a:ext cx="5295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37</xdr:col>
      <xdr:colOff>85725</xdr:colOff>
      <xdr:row>20</xdr:row>
      <xdr:rowOff>104775</xdr:rowOff>
    </xdr:from>
    <xdr:to>
      <xdr:col>37</xdr:col>
      <xdr:colOff>428625</xdr:colOff>
      <xdr:row>20</xdr:row>
      <xdr:rowOff>104775</xdr:rowOff>
    </xdr:to>
    <xdr:sp>
      <xdr:nvSpPr>
        <xdr:cNvPr id="120" name="Line 183"/>
        <xdr:cNvSpPr>
          <a:spLocks/>
        </xdr:cNvSpPr>
      </xdr:nvSpPr>
      <xdr:spPr>
        <a:xfrm>
          <a:off x="15973425" y="43148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66675</xdr:colOff>
      <xdr:row>30</xdr:row>
      <xdr:rowOff>28575</xdr:rowOff>
    </xdr:to>
    <xdr:sp>
      <xdr:nvSpPr>
        <xdr:cNvPr id="121" name="Rectangle 197"/>
        <xdr:cNvSpPr>
          <a:spLocks/>
        </xdr:cNvSpPr>
      </xdr:nvSpPr>
      <xdr:spPr>
        <a:xfrm>
          <a:off x="10877550" y="6381750"/>
          <a:ext cx="66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oleObject" Target="../embeddings/oleObject_3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tabSelected="1" zoomScale="75" zoomScaleNormal="75" workbookViewId="0" topLeftCell="A1">
      <selection activeCell="W67" sqref="W67"/>
    </sheetView>
  </sheetViews>
  <sheetFormatPr defaultColWidth="8.796875" defaultRowHeight="18" customHeight="1"/>
  <cols>
    <col min="1" max="9" width="4.8984375" style="9" customWidth="1"/>
    <col min="10" max="10" width="5" style="9" customWidth="1"/>
    <col min="11" max="25" width="4.8984375" style="9" customWidth="1"/>
    <col min="26" max="26" width="4.69921875" style="9" customWidth="1"/>
    <col min="27" max="27" width="3.19921875" style="9" customWidth="1"/>
    <col min="28" max="28" width="8.796875" style="9" customWidth="1"/>
    <col min="29" max="29" width="9.8984375" style="9" customWidth="1"/>
    <col min="30" max="30" width="7.796875" style="9" customWidth="1"/>
    <col min="31" max="31" width="13.296875" style="9" customWidth="1"/>
    <col min="32" max="32" width="9.19921875" style="9" customWidth="1"/>
    <col min="33" max="33" width="10.796875" style="9" customWidth="1"/>
    <col min="34" max="16384" width="8.796875" style="9" customWidth="1"/>
  </cols>
  <sheetData>
    <row r="1" spans="1:27" ht="18" customHeight="1">
      <c r="A1" s="297" t="s">
        <v>195</v>
      </c>
      <c r="B1" s="297"/>
      <c r="C1" s="297"/>
      <c r="D1" s="297"/>
      <c r="E1" s="297"/>
      <c r="F1" s="297"/>
      <c r="G1" s="297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 t="s">
        <v>190</v>
      </c>
      <c r="U1" s="298"/>
      <c r="V1" s="298"/>
      <c r="W1" s="18"/>
      <c r="X1" s="18"/>
      <c r="Y1" s="18"/>
      <c r="Z1" s="18"/>
      <c r="AA1" s="18"/>
    </row>
    <row r="2" spans="1:28" ht="6.75" customHeight="1">
      <c r="A2" s="18"/>
      <c r="B2" s="18"/>
      <c r="C2" s="18"/>
      <c r="D2" s="18"/>
      <c r="E2" s="18"/>
      <c r="F2" s="18"/>
      <c r="T2" s="18"/>
      <c r="U2" s="18"/>
      <c r="V2" s="18"/>
      <c r="W2" s="18"/>
      <c r="X2" s="18"/>
      <c r="Y2" s="18"/>
      <c r="Z2" s="18"/>
      <c r="AB2" s="18"/>
    </row>
    <row r="3" spans="1:36" ht="18" customHeight="1">
      <c r="A3" s="52" t="s">
        <v>229</v>
      </c>
      <c r="B3" s="13"/>
      <c r="C3" s="140" t="s">
        <v>192</v>
      </c>
      <c r="D3" s="13"/>
      <c r="E3" s="13"/>
      <c r="F3" s="13"/>
      <c r="G3" s="14"/>
      <c r="H3" s="1"/>
      <c r="I3" s="55" t="s">
        <v>171</v>
      </c>
      <c r="J3" s="20"/>
      <c r="K3" s="476" t="s">
        <v>0</v>
      </c>
      <c r="L3" s="477"/>
      <c r="M3" s="1"/>
      <c r="N3" s="52" t="s">
        <v>73</v>
      </c>
      <c r="O3" s="482">
        <f>975+720+1020+4800</f>
        <v>7515</v>
      </c>
      <c r="P3" s="483"/>
      <c r="Q3" s="13"/>
      <c r="R3" s="147" t="s">
        <v>74</v>
      </c>
      <c r="S3" s="13"/>
      <c r="T3" s="13"/>
      <c r="U3" s="483">
        <v>6000</v>
      </c>
      <c r="V3" s="484"/>
      <c r="W3" s="22"/>
      <c r="X3" s="22"/>
      <c r="Y3" s="22"/>
      <c r="Z3" s="22"/>
      <c r="AA3" s="1"/>
      <c r="AB3" s="65"/>
      <c r="AC3" s="475"/>
      <c r="AD3" s="475"/>
      <c r="AE3" s="1"/>
      <c r="AF3" s="65"/>
      <c r="AG3" s="1"/>
      <c r="AH3" s="1"/>
      <c r="AI3" s="474"/>
      <c r="AJ3" s="475"/>
    </row>
    <row r="4" spans="1:36" ht="4.5" customHeight="1">
      <c r="A4" s="1"/>
      <c r="B4" s="1"/>
      <c r="C4" s="1"/>
      <c r="D4" s="1"/>
      <c r="E4" s="1"/>
      <c r="F4" s="1"/>
      <c r="G4" s="1"/>
      <c r="H4" s="1"/>
      <c r="I4" s="15"/>
      <c r="J4" s="1"/>
      <c r="K4" s="1"/>
      <c r="L4" s="2"/>
      <c r="M4" s="1"/>
      <c r="S4" s="18"/>
      <c r="T4" s="22"/>
      <c r="U4" s="22"/>
      <c r="V4" s="22"/>
      <c r="W4" s="1"/>
      <c r="X4" s="1"/>
      <c r="Y4" s="1"/>
      <c r="Z4" s="1"/>
      <c r="AB4" s="1"/>
      <c r="AC4" s="1"/>
      <c r="AD4" s="1"/>
      <c r="AE4" s="1"/>
      <c r="AF4" s="1"/>
      <c r="AG4" s="22"/>
      <c r="AH4" s="22"/>
      <c r="AI4" s="22"/>
      <c r="AJ4" s="22"/>
    </row>
    <row r="5" spans="1:36" ht="18" customHeight="1">
      <c r="A5" s="52" t="s">
        <v>169</v>
      </c>
      <c r="B5" s="38"/>
      <c r="C5" s="139" t="s">
        <v>191</v>
      </c>
      <c r="D5" s="38"/>
      <c r="E5" s="38"/>
      <c r="F5" s="38"/>
      <c r="G5" s="56"/>
      <c r="H5" s="22"/>
      <c r="I5" s="152" t="s">
        <v>210</v>
      </c>
      <c r="J5" s="1"/>
      <c r="K5" s="478">
        <v>4</v>
      </c>
      <c r="L5" s="479"/>
      <c r="M5" s="135"/>
      <c r="N5" s="52" t="s">
        <v>170</v>
      </c>
      <c r="O5" s="13"/>
      <c r="P5" s="13"/>
      <c r="Q5" s="13"/>
      <c r="R5" s="146">
        <f>+Class1_lvl+Class2_lvl</f>
        <v>4</v>
      </c>
      <c r="S5" s="13"/>
      <c r="T5" s="38"/>
      <c r="U5" s="13"/>
      <c r="V5" s="14"/>
      <c r="W5" s="22"/>
      <c r="X5" s="22"/>
      <c r="Y5" s="22"/>
      <c r="Z5" s="22"/>
      <c r="AB5" s="65"/>
      <c r="AC5" s="1"/>
      <c r="AD5" s="1"/>
      <c r="AE5" s="1"/>
      <c r="AF5" s="48"/>
      <c r="AG5" s="1"/>
      <c r="AH5" s="22"/>
      <c r="AI5" s="1"/>
      <c r="AJ5" s="1"/>
    </row>
    <row r="6" spans="1:36" ht="4.5" customHeight="1">
      <c r="A6" s="22"/>
      <c r="B6" s="17"/>
      <c r="C6" s="22"/>
      <c r="D6" s="17"/>
      <c r="E6" s="17"/>
      <c r="F6" s="22"/>
      <c r="G6" s="22"/>
      <c r="H6" s="22"/>
      <c r="I6" s="51"/>
      <c r="J6" s="22"/>
      <c r="K6" s="22"/>
      <c r="L6" s="36"/>
      <c r="M6" s="22"/>
      <c r="N6" s="18"/>
      <c r="O6" s="18"/>
      <c r="P6" s="18"/>
      <c r="Q6" s="40"/>
      <c r="R6" s="40"/>
      <c r="S6" s="40"/>
      <c r="T6" s="22"/>
      <c r="U6" s="22"/>
      <c r="V6" s="22"/>
      <c r="W6" s="22"/>
      <c r="X6" s="22"/>
      <c r="Y6" s="22"/>
      <c r="Z6" s="22"/>
      <c r="AB6" s="22"/>
      <c r="AC6" s="141"/>
      <c r="AD6" s="22"/>
      <c r="AE6" s="48"/>
      <c r="AF6" s="48"/>
      <c r="AG6" s="48"/>
      <c r="AH6" s="22"/>
      <c r="AI6" s="22"/>
      <c r="AJ6" s="22"/>
    </row>
    <row r="7" spans="1:36" ht="18" customHeight="1">
      <c r="A7" s="52" t="s">
        <v>75</v>
      </c>
      <c r="B7" s="38"/>
      <c r="C7" s="238" t="s">
        <v>211</v>
      </c>
      <c r="D7" s="239"/>
      <c r="E7" s="239"/>
      <c r="F7" s="239"/>
      <c r="G7" s="150"/>
      <c r="H7" s="22"/>
      <c r="I7" s="148"/>
      <c r="J7" s="24"/>
      <c r="K7" s="480"/>
      <c r="L7" s="481"/>
      <c r="M7" s="22"/>
      <c r="N7" s="52" t="s">
        <v>161</v>
      </c>
      <c r="O7" s="38"/>
      <c r="P7" s="165"/>
      <c r="Q7" s="38"/>
      <c r="R7" s="50"/>
      <c r="S7" s="50"/>
      <c r="T7" s="50" t="s">
        <v>266</v>
      </c>
      <c r="U7" s="441" t="s">
        <v>285</v>
      </c>
      <c r="V7" s="47"/>
      <c r="W7" s="22"/>
      <c r="X7" s="22"/>
      <c r="Y7" s="22"/>
      <c r="Z7" s="22"/>
      <c r="AB7" s="65"/>
      <c r="AC7" s="1"/>
      <c r="AD7" s="163"/>
      <c r="AE7" s="22"/>
      <c r="AF7" s="164"/>
      <c r="AG7" s="1"/>
      <c r="AH7" s="164"/>
      <c r="AI7" s="164"/>
      <c r="AJ7" s="164"/>
    </row>
    <row r="8" spans="1:36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2"/>
      <c r="W8" s="22"/>
      <c r="X8" s="22"/>
      <c r="Y8" s="22"/>
      <c r="Z8" s="22"/>
      <c r="AB8" s="313"/>
      <c r="AC8" s="1"/>
      <c r="AD8" s="1"/>
      <c r="AE8" s="1"/>
      <c r="AF8" s="1"/>
      <c r="AG8" s="1"/>
      <c r="AH8" s="1"/>
      <c r="AI8" s="1"/>
      <c r="AJ8" s="1"/>
    </row>
    <row r="9" spans="1:26" ht="18.75" customHeight="1">
      <c r="A9" s="18"/>
      <c r="B9" s="18"/>
      <c r="C9" s="18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22"/>
      <c r="W9" s="22"/>
      <c r="X9" s="22"/>
      <c r="Y9" s="22"/>
      <c r="Z9" s="22"/>
    </row>
    <row r="10" spans="1:26" ht="18.75" customHeight="1">
      <c r="A10" s="80" t="s">
        <v>2</v>
      </c>
      <c r="B10" s="81" t="s">
        <v>3</v>
      </c>
      <c r="C10" s="81" t="s">
        <v>5</v>
      </c>
      <c r="D10" s="82" t="s">
        <v>6</v>
      </c>
      <c r="E10" s="22"/>
      <c r="F10" s="41"/>
      <c r="G10" s="21"/>
      <c r="H10" s="83" t="s">
        <v>4</v>
      </c>
      <c r="I10" s="110" t="s">
        <v>162</v>
      </c>
      <c r="J10" s="81" t="s">
        <v>6</v>
      </c>
      <c r="K10" s="82" t="s">
        <v>15</v>
      </c>
      <c r="L10" s="18"/>
      <c r="M10" s="84" t="s">
        <v>14</v>
      </c>
      <c r="N10" s="28"/>
      <c r="O10" s="85" t="s">
        <v>4</v>
      </c>
      <c r="P10" s="81" t="s">
        <v>1</v>
      </c>
      <c r="Q10" s="81" t="s">
        <v>6</v>
      </c>
      <c r="R10" s="82" t="s">
        <v>15</v>
      </c>
      <c r="S10" s="18"/>
      <c r="T10" s="41"/>
      <c r="U10" s="21"/>
      <c r="V10" s="86" t="s">
        <v>16</v>
      </c>
      <c r="W10" s="81" t="s">
        <v>1</v>
      </c>
      <c r="X10" s="81" t="s">
        <v>6</v>
      </c>
      <c r="Y10" s="81" t="s">
        <v>159</v>
      </c>
      <c r="Z10" s="82" t="s">
        <v>160</v>
      </c>
    </row>
    <row r="11" spans="1:26" ht="18.75" customHeight="1">
      <c r="A11" s="53" t="s">
        <v>7</v>
      </c>
      <c r="B11" s="135">
        <f>18+2+1</f>
        <v>21</v>
      </c>
      <c r="C11" s="59"/>
      <c r="D11" s="133">
        <f>IF(str&lt;10,ROUNDUP((str-10)/2,0),ROUNDDOWN((str-10)/2,0))</f>
        <v>5</v>
      </c>
      <c r="E11" s="22"/>
      <c r="F11" s="53" t="s">
        <v>209</v>
      </c>
      <c r="G11" s="22"/>
      <c r="H11" s="111">
        <f>I11+J11+K11</f>
        <v>9</v>
      </c>
      <c r="I11" s="59">
        <v>4</v>
      </c>
      <c r="J11" s="59">
        <f>strmod</f>
        <v>5</v>
      </c>
      <c r="K11" s="60"/>
      <c r="L11" s="18"/>
      <c r="M11" s="53" t="s">
        <v>277</v>
      </c>
      <c r="N11" s="22"/>
      <c r="O11" s="111">
        <f>P11+Q11+R11</f>
        <v>4</v>
      </c>
      <c r="P11" s="59">
        <v>1</v>
      </c>
      <c r="Q11" s="59">
        <f>dexmod</f>
        <v>3</v>
      </c>
      <c r="R11" s="60"/>
      <c r="S11" s="18"/>
      <c r="T11" s="53" t="s">
        <v>156</v>
      </c>
      <c r="U11" s="22"/>
      <c r="V11" s="307">
        <f>W11+X11+Y11+Z11</f>
        <v>19</v>
      </c>
      <c r="W11" s="59">
        <v>10</v>
      </c>
      <c r="X11" s="59">
        <f>IF(armortype1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3</v>
      </c>
      <c r="Y11" s="59">
        <v>1</v>
      </c>
      <c r="Z11" s="60">
        <f>+armor1ac+armor2ac</f>
        <v>5</v>
      </c>
    </row>
    <row r="12" spans="1:26" ht="18.75" customHeight="1">
      <c r="A12" s="53" t="s">
        <v>8</v>
      </c>
      <c r="B12" s="135">
        <v>16</v>
      </c>
      <c r="C12" s="59"/>
      <c r="D12" s="133">
        <f>IF(dex&lt;10,ROUNDUP((dex-10)/2,0),ROUNDDOWN((dex-10)/2,0))</f>
        <v>3</v>
      </c>
      <c r="E12" s="18"/>
      <c r="F12" s="53" t="s">
        <v>20</v>
      </c>
      <c r="G12" s="22"/>
      <c r="H12" s="111">
        <f>I12+J12+K12</f>
        <v>7</v>
      </c>
      <c r="I12" s="59">
        <v>4</v>
      </c>
      <c r="J12" s="59">
        <f>dexmod</f>
        <v>3</v>
      </c>
      <c r="K12" s="60"/>
      <c r="L12" s="18"/>
      <c r="M12" s="53" t="s">
        <v>215</v>
      </c>
      <c r="N12" s="22"/>
      <c r="O12" s="111">
        <f>P12+Q12+R12</f>
        <v>5</v>
      </c>
      <c r="P12" s="59">
        <v>3</v>
      </c>
      <c r="Q12" s="59">
        <f>conmod</f>
        <v>2</v>
      </c>
      <c r="R12" s="60"/>
      <c r="S12" s="18"/>
      <c r="T12" s="430" t="s">
        <v>157</v>
      </c>
      <c r="U12" s="431"/>
      <c r="V12" s="432">
        <f>SUM(W12:Z12)</f>
        <v>16</v>
      </c>
      <c r="W12" s="433">
        <f>W11</f>
        <v>10</v>
      </c>
      <c r="X12" s="434"/>
      <c r="Y12" s="433">
        <v>1</v>
      </c>
      <c r="Z12" s="435">
        <f>Z11</f>
        <v>5</v>
      </c>
    </row>
    <row r="13" spans="1:32" ht="18.75" customHeight="1">
      <c r="A13" s="53" t="s">
        <v>9</v>
      </c>
      <c r="B13" s="135">
        <v>14</v>
      </c>
      <c r="C13" s="59"/>
      <c r="D13" s="133">
        <f>IF(con&lt;10,ROUNDUP((con-10)/2,0),ROUNDDOWN((con-10)/2,0))</f>
        <v>2</v>
      </c>
      <c r="E13" s="22"/>
      <c r="F13" s="16" t="s">
        <v>233</v>
      </c>
      <c r="G13" s="24"/>
      <c r="H13" s="112">
        <f>I13+J13+K13</f>
        <v>9</v>
      </c>
      <c r="I13" s="137">
        <v>4</v>
      </c>
      <c r="J13" s="137">
        <f>J11</f>
        <v>5</v>
      </c>
      <c r="K13" s="138"/>
      <c r="L13" s="18"/>
      <c r="M13" s="54" t="s">
        <v>214</v>
      </c>
      <c r="N13" s="24"/>
      <c r="O13" s="112">
        <f>P13+Q13+R13</f>
        <v>2</v>
      </c>
      <c r="P13" s="137">
        <v>1</v>
      </c>
      <c r="Q13" s="137">
        <f>wismod</f>
        <v>1</v>
      </c>
      <c r="R13" s="138"/>
      <c r="S13" s="18"/>
      <c r="T13" s="53" t="s">
        <v>158</v>
      </c>
      <c r="U13" s="22"/>
      <c r="V13" s="111">
        <f>SUM(W13:Z13)</f>
        <v>14</v>
      </c>
      <c r="W13" s="59">
        <f>W11</f>
        <v>10</v>
      </c>
      <c r="X13" s="59">
        <f>X11</f>
        <v>3</v>
      </c>
      <c r="Y13" s="59">
        <v>1</v>
      </c>
      <c r="Z13" s="87"/>
      <c r="AC13" s="294" t="s">
        <v>60</v>
      </c>
      <c r="AD13" s="295" t="s">
        <v>44</v>
      </c>
      <c r="AE13" s="295" t="s">
        <v>68</v>
      </c>
      <c r="AF13" s="296" t="s">
        <v>45</v>
      </c>
    </row>
    <row r="14" spans="1:32" ht="24" customHeight="1">
      <c r="A14" s="53" t="s">
        <v>10</v>
      </c>
      <c r="B14" s="135">
        <v>14</v>
      </c>
      <c r="C14" s="59"/>
      <c r="D14" s="133">
        <f>IF(int&lt;10,ROUNDUP((int-10)/2,0),ROUNDDOWN((int-10)/2,0))</f>
        <v>2</v>
      </c>
      <c r="E14" s="18"/>
      <c r="F14" s="18"/>
      <c r="G14" s="22"/>
      <c r="H14" s="18"/>
      <c r="I14" s="18"/>
      <c r="J14" s="18"/>
      <c r="K14" s="18"/>
      <c r="L14" s="18"/>
      <c r="M14" s="473" t="s">
        <v>276</v>
      </c>
      <c r="N14" s="473"/>
      <c r="O14" s="473"/>
      <c r="P14" s="473"/>
      <c r="Q14" s="473"/>
      <c r="R14" s="473"/>
      <c r="S14" s="18"/>
      <c r="T14" s="15" t="s">
        <v>200</v>
      </c>
      <c r="V14" s="111">
        <f>SUM(W14:Z14)</f>
        <v>21</v>
      </c>
      <c r="W14" s="59">
        <f>W11</f>
        <v>10</v>
      </c>
      <c r="X14" s="246">
        <f>X11</f>
        <v>3</v>
      </c>
      <c r="Y14" s="59">
        <f>2+1</f>
        <v>3</v>
      </c>
      <c r="Z14" s="250">
        <f>Z11</f>
        <v>5</v>
      </c>
      <c r="AC14" s="7">
        <v>8</v>
      </c>
      <c r="AD14" s="30">
        <v>26</v>
      </c>
      <c r="AE14" s="30">
        <v>53</v>
      </c>
      <c r="AF14" s="31">
        <v>80</v>
      </c>
    </row>
    <row r="15" spans="1:32" ht="18.75" customHeight="1">
      <c r="A15" s="53" t="s">
        <v>11</v>
      </c>
      <c r="B15" s="135">
        <v>12</v>
      </c>
      <c r="C15" s="59"/>
      <c r="D15" s="133">
        <f>IF(wis&lt;10,ROUNDUP((wis-10)/2,0),ROUNDDOWN((wis-10)/2,0))</f>
        <v>1</v>
      </c>
      <c r="E15" s="18"/>
      <c r="G15" s="149"/>
      <c r="M15" s="1"/>
      <c r="N15" s="1"/>
      <c r="O15" s="1"/>
      <c r="P15" s="1"/>
      <c r="Q15" s="1"/>
      <c r="R15" s="1"/>
      <c r="S15" s="18"/>
      <c r="T15" s="320" t="s">
        <v>183</v>
      </c>
      <c r="V15" s="111">
        <f>W15+X15+Y15+Z15</f>
        <v>23</v>
      </c>
      <c r="W15" s="59">
        <f>W11</f>
        <v>10</v>
      </c>
      <c r="X15" s="59">
        <f>X11</f>
        <v>3</v>
      </c>
      <c r="Y15" s="59">
        <f>4+1</f>
        <v>5</v>
      </c>
      <c r="Z15" s="60">
        <f>Z11</f>
        <v>5</v>
      </c>
      <c r="AC15" s="7">
        <v>9</v>
      </c>
      <c r="AD15" s="30">
        <v>30</v>
      </c>
      <c r="AE15" s="30">
        <v>60</v>
      </c>
      <c r="AF15" s="31">
        <v>90</v>
      </c>
    </row>
    <row r="16" spans="1:32" ht="18.75" customHeight="1">
      <c r="A16" s="54" t="s">
        <v>12</v>
      </c>
      <c r="B16" s="204">
        <v>6</v>
      </c>
      <c r="C16" s="137"/>
      <c r="D16" s="133">
        <f>IF(cha&lt;10,ROUNDUP((cha-10)/2,0),ROUNDDOWN((cha-10)/2,0))</f>
        <v>-2</v>
      </c>
      <c r="E16" s="18"/>
      <c r="F16" s="55" t="s">
        <v>46</v>
      </c>
      <c r="G16" s="440">
        <f>12+conmod+10+12+8</f>
        <v>44</v>
      </c>
      <c r="H16" s="88"/>
      <c r="I16" s="88"/>
      <c r="J16" s="88"/>
      <c r="K16" s="171"/>
      <c r="L16" s="171"/>
      <c r="M16" s="348"/>
      <c r="O16" s="425" t="s">
        <v>237</v>
      </c>
      <c r="P16" s="13"/>
      <c r="Q16" s="442">
        <v>8</v>
      </c>
      <c r="R16" s="14"/>
      <c r="S16" s="18"/>
      <c r="T16" s="132" t="s">
        <v>219</v>
      </c>
      <c r="U16" s="22"/>
      <c r="V16" s="111">
        <f>W16+X16+Y16+Z16</f>
        <v>23</v>
      </c>
      <c r="W16" s="59">
        <v>10</v>
      </c>
      <c r="X16" s="59">
        <f>IF(armortype1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3</v>
      </c>
      <c r="Y16" s="59">
        <f>4+1</f>
        <v>5</v>
      </c>
      <c r="Z16" s="60">
        <f>+armor1ac+armor2ac</f>
        <v>5</v>
      </c>
      <c r="AC16" s="7">
        <v>10</v>
      </c>
      <c r="AD16" s="30">
        <v>33</v>
      </c>
      <c r="AE16" s="30">
        <v>66</v>
      </c>
      <c r="AF16" s="31">
        <v>100</v>
      </c>
    </row>
    <row r="17" spans="1:32" ht="18.75" customHeight="1">
      <c r="A17" s="208"/>
      <c r="B17" s="209"/>
      <c r="C17" s="208"/>
      <c r="D17" s="341">
        <f>SUM(D11:D16)</f>
        <v>11</v>
      </c>
      <c r="E17" s="18"/>
      <c r="F17" s="54" t="s">
        <v>47</v>
      </c>
      <c r="G17" s="136">
        <f>+con+Chr_lvl</f>
        <v>18</v>
      </c>
      <c r="H17" s="90"/>
      <c r="I17" s="91"/>
      <c r="J17" s="91"/>
      <c r="K17" s="91"/>
      <c r="L17" s="91"/>
      <c r="M17" s="346"/>
      <c r="N17" s="22"/>
      <c r="O17" s="22"/>
      <c r="P17" s="22"/>
      <c r="Q17" s="22"/>
      <c r="R17" s="22"/>
      <c r="S17" s="18"/>
      <c r="T17" s="54" t="s">
        <v>17</v>
      </c>
      <c r="U17" s="24"/>
      <c r="V17" s="309">
        <f>W17+X17+Y17</f>
        <v>3</v>
      </c>
      <c r="W17" s="137">
        <f>dexmod</f>
        <v>3</v>
      </c>
      <c r="X17" s="137"/>
      <c r="Y17" s="137"/>
      <c r="Z17" s="138"/>
      <c r="AC17" s="7">
        <v>11</v>
      </c>
      <c r="AD17" s="30">
        <v>38</v>
      </c>
      <c r="AE17" s="30">
        <v>76</v>
      </c>
      <c r="AF17" s="31">
        <v>115</v>
      </c>
    </row>
    <row r="18" spans="1:32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52" t="s">
        <v>201</v>
      </c>
      <c r="T18" s="251" t="s">
        <v>199</v>
      </c>
      <c r="X18" s="252" t="s">
        <v>220</v>
      </c>
      <c r="AC18" s="7">
        <v>12</v>
      </c>
      <c r="AD18" s="30">
        <v>43</v>
      </c>
      <c r="AE18" s="30">
        <v>86</v>
      </c>
      <c r="AF18" s="31">
        <v>130</v>
      </c>
    </row>
    <row r="19" spans="29:32" ht="18.75" customHeight="1">
      <c r="AC19" s="7">
        <v>13</v>
      </c>
      <c r="AD19" s="30">
        <v>50</v>
      </c>
      <c r="AE19" s="30">
        <v>100</v>
      </c>
      <c r="AF19" s="31">
        <v>150</v>
      </c>
    </row>
    <row r="20" spans="1:32" ht="18.75" customHeight="1">
      <c r="A20" s="41"/>
      <c r="B20" s="21"/>
      <c r="C20" s="42" t="s">
        <v>53</v>
      </c>
      <c r="D20" s="83" t="s">
        <v>4</v>
      </c>
      <c r="E20" s="43" t="s">
        <v>83</v>
      </c>
      <c r="F20" s="44" t="s">
        <v>82</v>
      </c>
      <c r="G20" s="43" t="s">
        <v>117</v>
      </c>
      <c r="H20" s="44" t="s">
        <v>130</v>
      </c>
      <c r="I20" s="28" t="s">
        <v>15</v>
      </c>
      <c r="J20" s="45" t="s">
        <v>59</v>
      </c>
      <c r="K20" s="21"/>
      <c r="L20" s="21"/>
      <c r="M20" s="109" t="s">
        <v>129</v>
      </c>
      <c r="N20" s="18"/>
      <c r="O20" s="92"/>
      <c r="P20" s="115" t="s">
        <v>166</v>
      </c>
      <c r="Q20" s="116"/>
      <c r="R20" s="113" t="s">
        <v>120</v>
      </c>
      <c r="S20" s="114" t="s">
        <v>163</v>
      </c>
      <c r="T20" s="114" t="s">
        <v>164</v>
      </c>
      <c r="U20" s="20"/>
      <c r="V20" s="93" t="s">
        <v>48</v>
      </c>
      <c r="W20" s="94"/>
      <c r="X20" s="93" t="s">
        <v>71</v>
      </c>
      <c r="Y20" s="95"/>
      <c r="Z20" s="23"/>
      <c r="AC20" s="7">
        <v>14</v>
      </c>
      <c r="AD20" s="30">
        <v>58</v>
      </c>
      <c r="AE20" s="30">
        <v>116</v>
      </c>
      <c r="AF20" s="31">
        <v>175</v>
      </c>
    </row>
    <row r="21" spans="1:32" ht="18.75" customHeight="1">
      <c r="A21" s="234" t="s">
        <v>154</v>
      </c>
      <c r="B21" s="235"/>
      <c r="C21" s="235" t="s">
        <v>54</v>
      </c>
      <c r="D21" s="236">
        <f aca="true" t="shared" si="0" ref="D21:D27">+E21+F21+H21+I21+G21</f>
        <v>2</v>
      </c>
      <c r="E21" s="237">
        <f>IF(C21="Int",intmod,IF(C21="Dex",dexmod,IF(C21="Cha",chamod,IF(C21="Str",strmod,IF(C21="Con",conmod,wismod)))))</f>
        <v>2</v>
      </c>
      <c r="F21" s="237">
        <v>0</v>
      </c>
      <c r="G21" s="237"/>
      <c r="H21" s="237"/>
      <c r="I21" s="237"/>
      <c r="J21" s="317" t="str">
        <f>"+"&amp;$M$61&amp;" with stones"</f>
        <v>+2 with stones</v>
      </c>
      <c r="K21" s="316"/>
      <c r="L21" s="257"/>
      <c r="M21" s="258">
        <v>67</v>
      </c>
      <c r="N21" s="18"/>
      <c r="O21" s="446" t="s">
        <v>267</v>
      </c>
      <c r="P21" s="22"/>
      <c r="Q21" s="22"/>
      <c r="R21" s="229"/>
      <c r="S21" s="230">
        <v>1</v>
      </c>
      <c r="T21" s="230">
        <v>1</v>
      </c>
      <c r="U21" s="1"/>
      <c r="V21" s="307">
        <f>IF(wp2type="M",mmod,rmod)+wp2attbonus</f>
        <v>10</v>
      </c>
      <c r="W21" s="308"/>
      <c r="X21" s="305" t="s">
        <v>197</v>
      </c>
      <c r="Y21" s="306" t="str">
        <f>IF(wp2type="P","+"&amp;wp2dmgbonus,(IF((strmod+wp2dmgbonus)&gt;0,"+"&amp;(strmod+wp2dmgbonus),IF((strmod+wp2dmgbonus)&lt;0,(strmod+wp2dmgbonus),""))))</f>
        <v>+6</v>
      </c>
      <c r="Z21" s="145"/>
      <c r="AC21" s="8">
        <v>15</v>
      </c>
      <c r="AD21" s="30">
        <v>66</v>
      </c>
      <c r="AE21" s="30">
        <v>133</v>
      </c>
      <c r="AF21" s="31">
        <v>200</v>
      </c>
    </row>
    <row r="22" spans="1:32" ht="18.75" customHeight="1">
      <c r="A22" s="234" t="s">
        <v>21</v>
      </c>
      <c r="B22" s="235"/>
      <c r="C22" s="235" t="s">
        <v>109</v>
      </c>
      <c r="D22" s="236">
        <f t="shared" si="0"/>
        <v>8</v>
      </c>
      <c r="E22" s="237">
        <f aca="true" t="shared" si="1" ref="E22:E28">IF(C22="Int",intmod,IF(C22="Dex",dexmod,IF(C22="Cha",chamod,IF(C22="Str",strmod,IF(C22="Con",conmod,wismod)))))</f>
        <v>3</v>
      </c>
      <c r="F22" s="237">
        <f>5+1</f>
        <v>6</v>
      </c>
      <c r="G22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2" s="237"/>
      <c r="I22" s="237"/>
      <c r="J22" s="257"/>
      <c r="K22" s="257"/>
      <c r="L22" s="257"/>
      <c r="M22" s="258">
        <v>67</v>
      </c>
      <c r="N22" s="18"/>
      <c r="O22" s="97"/>
      <c r="P22" s="79" t="s">
        <v>50</v>
      </c>
      <c r="Q22" s="79" t="s">
        <v>168</v>
      </c>
      <c r="R22" s="79"/>
      <c r="S22" s="79" t="s">
        <v>49</v>
      </c>
      <c r="T22" s="79" t="s">
        <v>261</v>
      </c>
      <c r="U22" s="79"/>
      <c r="V22" s="79"/>
      <c r="W22" s="79" t="s">
        <v>165</v>
      </c>
      <c r="X22" s="79" t="s">
        <v>168</v>
      </c>
      <c r="Y22" s="79" t="s">
        <v>52</v>
      </c>
      <c r="Z22" s="143">
        <v>8</v>
      </c>
      <c r="AC22" s="8">
        <v>16</v>
      </c>
      <c r="AD22" s="30">
        <v>76</v>
      </c>
      <c r="AE22" s="30">
        <v>153</v>
      </c>
      <c r="AF22" s="31">
        <v>230</v>
      </c>
    </row>
    <row r="23" spans="1:32" ht="18.75" customHeight="1">
      <c r="A23" s="234" t="s">
        <v>22</v>
      </c>
      <c r="B23" s="235"/>
      <c r="C23" s="235" t="s">
        <v>55</v>
      </c>
      <c r="D23" s="236">
        <f t="shared" si="0"/>
        <v>-2</v>
      </c>
      <c r="E23" s="237">
        <f t="shared" si="1"/>
        <v>-2</v>
      </c>
      <c r="F23" s="237">
        <v>0</v>
      </c>
      <c r="G23" s="237"/>
      <c r="H23" s="237"/>
      <c r="I23" s="237"/>
      <c r="J23" s="257"/>
      <c r="K23" s="257"/>
      <c r="L23" s="257"/>
      <c r="M23" s="258">
        <v>67</v>
      </c>
      <c r="N23" s="18"/>
      <c r="O23" s="97"/>
      <c r="P23" s="79" t="s">
        <v>51</v>
      </c>
      <c r="Q23" s="79" t="s">
        <v>283</v>
      </c>
      <c r="R23" s="79"/>
      <c r="S23" s="79"/>
      <c r="T23" s="79"/>
      <c r="U23" s="79"/>
      <c r="V23" s="79"/>
      <c r="W23" s="79"/>
      <c r="X23" s="79"/>
      <c r="Y23" s="79"/>
      <c r="Z23" s="143"/>
      <c r="AC23" s="7">
        <v>17</v>
      </c>
      <c r="AD23" s="30">
        <v>86</v>
      </c>
      <c r="AE23" s="30">
        <v>173</v>
      </c>
      <c r="AF23" s="31">
        <v>260</v>
      </c>
    </row>
    <row r="24" spans="1:32" ht="18.75" customHeight="1">
      <c r="A24" s="234" t="s">
        <v>81</v>
      </c>
      <c r="B24" s="235"/>
      <c r="C24" s="235" t="s">
        <v>60</v>
      </c>
      <c r="D24" s="236">
        <f t="shared" si="0"/>
        <v>10</v>
      </c>
      <c r="E24" s="237">
        <f>IF(C24="Int",intmod,IF(C24="Dex",dexmod,IF(C24="Cha",chamod,IF(C24="Str",strmod,IF(C24="Con",conmod,IF(C24="Wis",wismod,0))))))</f>
        <v>5</v>
      </c>
      <c r="F24" s="237">
        <f>5+1</f>
        <v>6</v>
      </c>
      <c r="G24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4" s="237"/>
      <c r="I24" s="237"/>
      <c r="J24" s="255" t="s">
        <v>189</v>
      </c>
      <c r="K24" s="257"/>
      <c r="L24" s="257"/>
      <c r="M24" s="258">
        <v>69</v>
      </c>
      <c r="N24" s="18"/>
      <c r="O24" s="97"/>
      <c r="P24" s="17"/>
      <c r="Q24" s="17"/>
      <c r="R24" s="22"/>
      <c r="S24" s="17"/>
      <c r="T24" s="17"/>
      <c r="U24" s="17"/>
      <c r="V24" s="17"/>
      <c r="W24" s="17"/>
      <c r="X24" s="17"/>
      <c r="Y24" s="17"/>
      <c r="Z24" s="144"/>
      <c r="AC24" s="7">
        <v>18</v>
      </c>
      <c r="AD24" s="30">
        <v>100</v>
      </c>
      <c r="AE24" s="30">
        <v>200</v>
      </c>
      <c r="AF24" s="31">
        <v>300</v>
      </c>
    </row>
    <row r="25" spans="1:32" ht="18.75" customHeight="1">
      <c r="A25" s="234" t="s">
        <v>24</v>
      </c>
      <c r="B25" s="235"/>
      <c r="C25" s="235" t="s">
        <v>56</v>
      </c>
      <c r="D25" s="236">
        <f t="shared" si="0"/>
        <v>2</v>
      </c>
      <c r="E25" s="237">
        <f t="shared" si="1"/>
        <v>2</v>
      </c>
      <c r="F25" s="237">
        <v>0</v>
      </c>
      <c r="G25" s="237"/>
      <c r="H25" s="237"/>
      <c r="I25" s="237"/>
      <c r="J25" s="257"/>
      <c r="K25" s="257"/>
      <c r="L25" s="257"/>
      <c r="M25" s="258">
        <v>69</v>
      </c>
      <c r="N25" s="18"/>
      <c r="O25" s="444" t="s">
        <v>286</v>
      </c>
      <c r="P25" s="452"/>
      <c r="Q25" s="452"/>
      <c r="R25" s="229"/>
      <c r="S25" s="230">
        <v>1</v>
      </c>
      <c r="T25" s="230">
        <v>1</v>
      </c>
      <c r="U25" s="453"/>
      <c r="V25" s="307">
        <f>IF(wp1type="M",mmod,rmod)+wp1attbonus</f>
        <v>10</v>
      </c>
      <c r="W25" s="454"/>
      <c r="X25" s="305" t="s">
        <v>175</v>
      </c>
      <c r="Y25" s="306" t="str">
        <f>IF(wp1type="P","+"&amp;wp1dmgbonus,(IF((strmod+wp1dmgbonus)&gt;0,"+"&amp;(strmod+wp1dmgbonus),IF((strmod+wp1dmgbonus)&lt;0,(strmod+wp1dmgbonus),""))))</f>
        <v>+6</v>
      </c>
      <c r="Z25" s="445"/>
      <c r="AC25" s="7">
        <v>19</v>
      </c>
      <c r="AD25" s="30">
        <v>116</v>
      </c>
      <c r="AE25" s="30">
        <v>233</v>
      </c>
      <c r="AF25" s="31">
        <v>350</v>
      </c>
    </row>
    <row r="26" spans="1:32" ht="18.75" customHeight="1">
      <c r="A26" s="234" t="s">
        <v>25</v>
      </c>
      <c r="B26" s="235"/>
      <c r="C26" s="235" t="s">
        <v>55</v>
      </c>
      <c r="D26" s="236">
        <f t="shared" si="0"/>
        <v>-2</v>
      </c>
      <c r="E26" s="237">
        <f t="shared" si="1"/>
        <v>-2</v>
      </c>
      <c r="F26" s="237">
        <v>0</v>
      </c>
      <c r="G26" s="237"/>
      <c r="H26" s="237"/>
      <c r="I26" s="237"/>
      <c r="J26" s="257"/>
      <c r="K26" s="257"/>
      <c r="L26" s="257"/>
      <c r="M26" s="258">
        <v>71</v>
      </c>
      <c r="N26" s="18"/>
      <c r="O26" s="51"/>
      <c r="P26" s="79" t="s">
        <v>76</v>
      </c>
      <c r="Q26" s="79" t="s">
        <v>168</v>
      </c>
      <c r="R26" s="79"/>
      <c r="S26" s="79" t="s">
        <v>49</v>
      </c>
      <c r="T26" s="79" t="s">
        <v>287</v>
      </c>
      <c r="U26" s="79"/>
      <c r="V26" s="79"/>
      <c r="W26" s="79" t="s">
        <v>165</v>
      </c>
      <c r="X26" s="79" t="s">
        <v>168</v>
      </c>
      <c r="Y26" s="79" t="s">
        <v>52</v>
      </c>
      <c r="Z26" s="143">
        <v>2</v>
      </c>
      <c r="AC26" s="12">
        <v>20</v>
      </c>
      <c r="AD26" s="32">
        <v>133</v>
      </c>
      <c r="AE26" s="32">
        <v>266</v>
      </c>
      <c r="AF26" s="33">
        <v>400</v>
      </c>
    </row>
    <row r="27" spans="1:28" ht="18.75" customHeight="1">
      <c r="A27" s="234" t="s">
        <v>26</v>
      </c>
      <c r="B27" s="235"/>
      <c r="C27" s="235" t="s">
        <v>55</v>
      </c>
      <c r="D27" s="236">
        <f t="shared" si="0"/>
        <v>-2</v>
      </c>
      <c r="E27" s="237">
        <f t="shared" si="1"/>
        <v>-2</v>
      </c>
      <c r="F27" s="237">
        <v>0</v>
      </c>
      <c r="G27" s="237"/>
      <c r="H27" s="237"/>
      <c r="I27" s="237"/>
      <c r="J27" s="257"/>
      <c r="K27" s="257"/>
      <c r="L27" s="257"/>
      <c r="M27" s="258">
        <v>72</v>
      </c>
      <c r="N27" s="18"/>
      <c r="O27" s="97"/>
      <c r="P27" s="79" t="s">
        <v>51</v>
      </c>
      <c r="Q27" s="158"/>
      <c r="R27" s="79"/>
      <c r="S27" s="79"/>
      <c r="T27" s="79"/>
      <c r="U27" s="79"/>
      <c r="V27" s="79"/>
      <c r="W27" s="158"/>
      <c r="X27" s="79"/>
      <c r="Y27" s="79"/>
      <c r="Z27" s="143"/>
      <c r="AB27" s="3"/>
    </row>
    <row r="28" spans="1:40" ht="18.75" customHeight="1">
      <c r="A28" s="234" t="s">
        <v>27</v>
      </c>
      <c r="B28" s="235"/>
      <c r="C28" s="235" t="s">
        <v>57</v>
      </c>
      <c r="D28" s="236">
        <f>+E28+F28+H28+I28+G28</f>
        <v>2</v>
      </c>
      <c r="E28" s="237">
        <f t="shared" si="1"/>
        <v>3</v>
      </c>
      <c r="F28" s="237">
        <v>0</v>
      </c>
      <c r="G28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28" s="237"/>
      <c r="I28" s="254"/>
      <c r="J28" s="255" t="s">
        <v>185</v>
      </c>
      <c r="K28" s="257"/>
      <c r="L28" s="257"/>
      <c r="M28" s="258">
        <v>73</v>
      </c>
      <c r="N28" s="18"/>
      <c r="O28" s="5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3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.75" customHeight="1">
      <c r="A29" s="234" t="s">
        <v>80</v>
      </c>
      <c r="B29" s="235"/>
      <c r="C29" s="235" t="s">
        <v>54</v>
      </c>
      <c r="D29" s="236">
        <f aca="true" t="shared" si="2" ref="D29:D43">+E29+F29+H29+I29+G29</f>
        <v>2</v>
      </c>
      <c r="E29" s="237">
        <f aca="true" t="shared" si="3" ref="E29:E46">IF(C29="Int",intmod,IF(C29="Dex",dexmod,IF(C29="Cha",chamod,IF(C29="Str",strmod,IF(C29="Con",conmod,wismod)))))</f>
        <v>2</v>
      </c>
      <c r="F29" s="237">
        <v>0</v>
      </c>
      <c r="G29" s="237"/>
      <c r="H29" s="237"/>
      <c r="I29" s="237"/>
      <c r="J29" s="257"/>
      <c r="K29" s="257"/>
      <c r="L29" s="257"/>
      <c r="M29" s="258">
        <v>74</v>
      </c>
      <c r="N29" s="18"/>
      <c r="O29" s="53" t="s">
        <v>235</v>
      </c>
      <c r="P29" s="452"/>
      <c r="Q29" s="453" t="str">
        <f>wp1name</f>
        <v>+1 Scimitar</v>
      </c>
      <c r="R29" s="237"/>
      <c r="T29" s="59"/>
      <c r="U29" s="453"/>
      <c r="V29" s="307">
        <f>wp1attack-2</f>
        <v>8</v>
      </c>
      <c r="W29" s="454"/>
      <c r="X29" s="305" t="str">
        <f>wp1dmg_dice</f>
        <v>d6</v>
      </c>
      <c r="Y29" s="306" t="str">
        <f>wp1dmg_bonus</f>
        <v>+6</v>
      </c>
      <c r="Z29" s="36"/>
      <c r="AH29" s="1"/>
      <c r="AI29" s="174"/>
      <c r="AJ29" s="1"/>
      <c r="AK29" s="174"/>
      <c r="AL29" s="1"/>
      <c r="AM29" s="174"/>
      <c r="AN29" s="1"/>
    </row>
    <row r="30" spans="1:40" ht="18.75" customHeight="1">
      <c r="A30" s="234" t="s">
        <v>23</v>
      </c>
      <c r="B30" s="235"/>
      <c r="C30" s="235" t="s">
        <v>55</v>
      </c>
      <c r="D30" s="236">
        <f t="shared" si="2"/>
        <v>-2</v>
      </c>
      <c r="E30" s="237">
        <f t="shared" si="3"/>
        <v>-2</v>
      </c>
      <c r="F30" s="237">
        <v>0</v>
      </c>
      <c r="G30" s="237"/>
      <c r="H30" s="237"/>
      <c r="I30" s="237"/>
      <c r="J30" s="257"/>
      <c r="K30" s="257"/>
      <c r="L30" s="257"/>
      <c r="M30" s="258">
        <v>74</v>
      </c>
      <c r="N30" s="18"/>
      <c r="O30" s="443" t="s">
        <v>236</v>
      </c>
      <c r="P30" s="79"/>
      <c r="Q30" s="65" t="s">
        <v>193</v>
      </c>
      <c r="R30" s="79"/>
      <c r="T30" s="79" t="s">
        <v>174</v>
      </c>
      <c r="U30" s="79"/>
      <c r="V30" s="307">
        <f>+mmod-2</f>
        <v>7</v>
      </c>
      <c r="W30" s="454"/>
      <c r="X30" s="305" t="str">
        <f>wp1dmg_dice</f>
        <v>d6</v>
      </c>
      <c r="Y30" s="306" t="str">
        <f>"+"&amp;CEILING(strmod/2,1)</f>
        <v>+3</v>
      </c>
      <c r="Z30" s="143"/>
      <c r="AH30" s="1"/>
      <c r="AI30" s="1"/>
      <c r="AJ30" s="1"/>
      <c r="AK30" s="1"/>
      <c r="AL30" s="1"/>
      <c r="AM30" s="1"/>
      <c r="AN30" s="1"/>
    </row>
    <row r="31" spans="1:40" ht="18.75" customHeight="1">
      <c r="A31" s="234" t="s">
        <v>28</v>
      </c>
      <c r="B31" s="235"/>
      <c r="C31" s="235" t="s">
        <v>58</v>
      </c>
      <c r="D31" s="236">
        <f t="shared" si="2"/>
        <v>1</v>
      </c>
      <c r="E31" s="237">
        <f t="shared" si="3"/>
        <v>1</v>
      </c>
      <c r="F31" s="237">
        <v>0</v>
      </c>
      <c r="G31" s="237"/>
      <c r="H31" s="237"/>
      <c r="I31" s="237"/>
      <c r="J31" s="257"/>
      <c r="K31" s="257"/>
      <c r="L31" s="257"/>
      <c r="M31" s="258">
        <v>75</v>
      </c>
      <c r="N31" s="18"/>
      <c r="O31" s="97"/>
      <c r="P31" s="17"/>
      <c r="Q31" s="17"/>
      <c r="R31" s="22"/>
      <c r="S31" s="17"/>
      <c r="T31" s="17"/>
      <c r="U31" s="17"/>
      <c r="V31" s="17"/>
      <c r="W31" s="17"/>
      <c r="X31" s="17"/>
      <c r="Y31" s="17"/>
      <c r="Z31" s="144"/>
      <c r="AH31" s="1"/>
      <c r="AI31" s="1"/>
      <c r="AJ31" s="1"/>
      <c r="AK31" s="1"/>
      <c r="AL31" s="1"/>
      <c r="AM31" s="1"/>
      <c r="AN31" s="1"/>
    </row>
    <row r="32" spans="1:26" ht="18.75" customHeight="1">
      <c r="A32" s="234" t="s">
        <v>29</v>
      </c>
      <c r="B32" s="235"/>
      <c r="C32" s="235" t="s">
        <v>57</v>
      </c>
      <c r="D32" s="236">
        <f t="shared" si="2"/>
        <v>2</v>
      </c>
      <c r="E32" s="237">
        <f t="shared" si="3"/>
        <v>3</v>
      </c>
      <c r="F32" s="237">
        <v>0</v>
      </c>
      <c r="G32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2" s="237"/>
      <c r="I32" s="237"/>
      <c r="J32" s="263"/>
      <c r="K32" s="257"/>
      <c r="L32" s="257"/>
      <c r="M32" s="258">
        <v>76</v>
      </c>
      <c r="N32" s="18"/>
      <c r="O32" s="447" t="s">
        <v>268</v>
      </c>
      <c r="P32" s="22"/>
      <c r="Q32" s="311"/>
      <c r="R32" s="229">
        <v>120</v>
      </c>
      <c r="S32" s="230">
        <v>1</v>
      </c>
      <c r="T32" s="230">
        <v>1</v>
      </c>
      <c r="U32" s="1"/>
      <c r="V32" s="307">
        <f>IF(wp3type="M",mmod,rmod)+wp3attbonus</f>
        <v>8</v>
      </c>
      <c r="W32" s="308"/>
      <c r="X32" s="305" t="s">
        <v>197</v>
      </c>
      <c r="Y32" s="306" t="str">
        <f>IF(wp3type="P","+"&amp;wp3dmgbonus,(IF((strmod+wp3dmgbonus)&gt;0,"+"&amp;(strmod+wp3dmgbonus),IF((strmod+wp3dmgbonus)&lt;0,(strmod+wp3dmgbonus),""))))</f>
        <v>+1</v>
      </c>
      <c r="Z32" s="145"/>
    </row>
    <row r="33" spans="1:26" ht="18.75" customHeight="1">
      <c r="A33" s="234" t="s">
        <v>30</v>
      </c>
      <c r="B33" s="235"/>
      <c r="C33" s="235" t="s">
        <v>55</v>
      </c>
      <c r="D33" s="236">
        <f t="shared" si="2"/>
        <v>2</v>
      </c>
      <c r="E33" s="237">
        <f t="shared" si="3"/>
        <v>-2</v>
      </c>
      <c r="F33" s="237">
        <v>4</v>
      </c>
      <c r="G33" s="237"/>
      <c r="H33" s="237"/>
      <c r="I33" s="237"/>
      <c r="J33" s="257"/>
      <c r="K33" s="257"/>
      <c r="L33" s="257"/>
      <c r="M33" s="258">
        <v>76</v>
      </c>
      <c r="N33" s="18"/>
      <c r="O33" s="97"/>
      <c r="P33" s="79" t="s">
        <v>50</v>
      </c>
      <c r="Q33" s="79" t="s">
        <v>45</v>
      </c>
      <c r="R33" s="79"/>
      <c r="S33" s="79" t="s">
        <v>49</v>
      </c>
      <c r="T33" s="79" t="s">
        <v>174</v>
      </c>
      <c r="U33" s="79"/>
      <c r="V33" s="79"/>
      <c r="W33" s="79" t="s">
        <v>165</v>
      </c>
      <c r="X33" s="79" t="s">
        <v>198</v>
      </c>
      <c r="Y33" s="79" t="s">
        <v>52</v>
      </c>
      <c r="Z33" s="143">
        <v>12</v>
      </c>
    </row>
    <row r="34" spans="1:26" ht="18.75" customHeight="1">
      <c r="A34" s="234" t="s">
        <v>31</v>
      </c>
      <c r="B34" s="235"/>
      <c r="C34" s="235" t="s">
        <v>60</v>
      </c>
      <c r="D34" s="236">
        <f t="shared" si="2"/>
        <v>10</v>
      </c>
      <c r="E34" s="237">
        <f t="shared" si="3"/>
        <v>5</v>
      </c>
      <c r="F34" s="237">
        <f>5+1</f>
        <v>6</v>
      </c>
      <c r="G34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4" s="237"/>
      <c r="I34" s="237"/>
      <c r="J34" s="257"/>
      <c r="K34" s="257"/>
      <c r="L34" s="257"/>
      <c r="M34" s="258">
        <v>77</v>
      </c>
      <c r="N34" s="18"/>
      <c r="O34" s="97"/>
      <c r="P34" s="79" t="s">
        <v>51</v>
      </c>
      <c r="Q34" s="79" t="s">
        <v>269</v>
      </c>
      <c r="R34" s="79"/>
      <c r="S34" s="79"/>
      <c r="T34" s="79"/>
      <c r="U34" s="79"/>
      <c r="V34" s="79"/>
      <c r="W34" s="79"/>
      <c r="X34" s="79"/>
      <c r="Y34" s="79"/>
      <c r="Z34" s="117"/>
    </row>
    <row r="35" spans="1:26" ht="18.75" customHeight="1">
      <c r="A35" s="234" t="s">
        <v>32</v>
      </c>
      <c r="B35" s="235"/>
      <c r="C35" s="235" t="s">
        <v>58</v>
      </c>
      <c r="D35" s="236">
        <f t="shared" si="2"/>
        <v>3</v>
      </c>
      <c r="E35" s="237">
        <f t="shared" si="3"/>
        <v>1</v>
      </c>
      <c r="F35" s="237">
        <v>2</v>
      </c>
      <c r="G35" s="237"/>
      <c r="H35" s="237"/>
      <c r="I35" s="237"/>
      <c r="J35" s="263"/>
      <c r="K35" s="257"/>
      <c r="L35" s="257"/>
      <c r="M35" s="258">
        <v>78</v>
      </c>
      <c r="N35" s="18"/>
      <c r="O35" s="5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36"/>
    </row>
    <row r="36" spans="1:26" ht="18.75" customHeight="1">
      <c r="A36" s="234" t="s">
        <v>33</v>
      </c>
      <c r="B36" s="235"/>
      <c r="C36" s="235" t="s">
        <v>57</v>
      </c>
      <c r="D36" s="236">
        <f t="shared" si="2"/>
        <v>2</v>
      </c>
      <c r="E36" s="237">
        <f t="shared" si="3"/>
        <v>3</v>
      </c>
      <c r="F36" s="237">
        <v>0</v>
      </c>
      <c r="G36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-1</v>
      </c>
      <c r="H36" s="237"/>
      <c r="I36" s="237"/>
      <c r="J36" s="257"/>
      <c r="K36" s="257"/>
      <c r="L36" s="257"/>
      <c r="M36" s="258">
        <v>79</v>
      </c>
      <c r="N36" s="18"/>
      <c r="O36" s="53" t="s">
        <v>259</v>
      </c>
      <c r="P36" s="22"/>
      <c r="Q36" s="22"/>
      <c r="R36" s="312">
        <v>30</v>
      </c>
      <c r="S36" s="230">
        <v>-4</v>
      </c>
      <c r="T36" s="230"/>
      <c r="U36" s="1"/>
      <c r="V36" s="307">
        <f>IF(wp4type="M",mmod,rmod)+wp4attbonus</f>
        <v>3</v>
      </c>
      <c r="W36" s="310"/>
      <c r="X36" s="305" t="s">
        <v>197</v>
      </c>
      <c r="Y36" s="306" t="str">
        <f>IF(wp4type="P","+"&amp;wp4dmgbonus,(IF((strmod+wp4dmgbonus)&gt;0,"+"&amp;(strmod+wp4dmgbonus),IF((strmod+wp4dmgbonus)&lt;0,(strmod+wp4dmgbonus),""))))</f>
        <v>+5</v>
      </c>
      <c r="Z36" s="36"/>
    </row>
    <row r="37" spans="1:26" ht="18.75" customHeight="1">
      <c r="A37" s="234" t="s">
        <v>34</v>
      </c>
      <c r="B37" s="235"/>
      <c r="C37" s="235" t="s">
        <v>55</v>
      </c>
      <c r="D37" s="236">
        <f t="shared" si="2"/>
        <v>-2</v>
      </c>
      <c r="E37" s="237">
        <f t="shared" si="3"/>
        <v>-2</v>
      </c>
      <c r="F37" s="237">
        <v>0</v>
      </c>
      <c r="G37" s="237"/>
      <c r="H37" s="237"/>
      <c r="I37" s="237"/>
      <c r="J37" s="257"/>
      <c r="K37" s="257"/>
      <c r="L37" s="257"/>
      <c r="M37" s="258">
        <v>79</v>
      </c>
      <c r="N37" s="18"/>
      <c r="O37" s="51"/>
      <c r="P37" s="79" t="s">
        <v>50</v>
      </c>
      <c r="Q37" s="79" t="s">
        <v>168</v>
      </c>
      <c r="R37" s="79"/>
      <c r="S37" s="79" t="s">
        <v>49</v>
      </c>
      <c r="T37" s="79" t="s">
        <v>261</v>
      </c>
      <c r="U37" s="79"/>
      <c r="V37" s="79"/>
      <c r="W37" s="79" t="s">
        <v>165</v>
      </c>
      <c r="X37" s="79" t="s">
        <v>260</v>
      </c>
      <c r="Y37" s="79" t="s">
        <v>52</v>
      </c>
      <c r="Z37" s="143">
        <v>10</v>
      </c>
    </row>
    <row r="38" spans="1:26" ht="18.75" customHeight="1">
      <c r="A38" s="234" t="s">
        <v>35</v>
      </c>
      <c r="B38" s="235"/>
      <c r="C38" s="235" t="s">
        <v>57</v>
      </c>
      <c r="D38" s="236">
        <f t="shared" si="2"/>
        <v>3</v>
      </c>
      <c r="E38" s="237">
        <f t="shared" si="3"/>
        <v>3</v>
      </c>
      <c r="F38" s="237">
        <v>0</v>
      </c>
      <c r="G38" s="237"/>
      <c r="H38" s="237"/>
      <c r="I38" s="237"/>
      <c r="J38" s="257"/>
      <c r="K38" s="257"/>
      <c r="L38" s="257"/>
      <c r="M38" s="258">
        <v>80</v>
      </c>
      <c r="N38" s="18"/>
      <c r="O38" s="89"/>
      <c r="P38" s="98" t="s">
        <v>51</v>
      </c>
      <c r="Q38" s="98" t="s">
        <v>262</v>
      </c>
      <c r="R38" s="98"/>
      <c r="S38" s="98"/>
      <c r="T38" s="98"/>
      <c r="U38" s="98"/>
      <c r="V38" s="98"/>
      <c r="W38" s="98"/>
      <c r="X38" s="98"/>
      <c r="Y38" s="98"/>
      <c r="Z38" s="118"/>
    </row>
    <row r="39" spans="1:26" ht="18.75" customHeight="1">
      <c r="A39" s="234" t="s">
        <v>36</v>
      </c>
      <c r="B39" s="235"/>
      <c r="C39" s="235" t="s">
        <v>54</v>
      </c>
      <c r="D39" s="236">
        <f t="shared" si="2"/>
        <v>2</v>
      </c>
      <c r="E39" s="237">
        <f t="shared" si="3"/>
        <v>2</v>
      </c>
      <c r="F39" s="237">
        <v>0</v>
      </c>
      <c r="G39" s="237"/>
      <c r="H39" s="237"/>
      <c r="I39" s="237"/>
      <c r="J39" s="317" t="str">
        <f>"+"&amp;$M$61&amp;" with stones"</f>
        <v>+2 with stones</v>
      </c>
      <c r="K39" s="316"/>
      <c r="M39" s="258">
        <v>15</v>
      </c>
      <c r="N39" s="18"/>
      <c r="O39" s="22"/>
      <c r="P39" s="99" t="s">
        <v>167</v>
      </c>
      <c r="Q39" s="18"/>
      <c r="R39" s="17"/>
      <c r="S39" s="17"/>
      <c r="T39" s="17"/>
      <c r="U39" s="17"/>
      <c r="V39" s="22"/>
      <c r="W39" s="22"/>
      <c r="X39" s="22"/>
      <c r="Y39" s="22"/>
      <c r="Z39" s="22"/>
    </row>
    <row r="40" spans="1:14" ht="18.75" customHeight="1">
      <c r="A40" s="234" t="s">
        <v>37</v>
      </c>
      <c r="B40" s="235"/>
      <c r="C40" s="235" t="s">
        <v>58</v>
      </c>
      <c r="D40" s="236">
        <f t="shared" si="2"/>
        <v>1</v>
      </c>
      <c r="E40" s="237">
        <f t="shared" si="3"/>
        <v>1</v>
      </c>
      <c r="F40" s="237">
        <v>0</v>
      </c>
      <c r="G40" s="237"/>
      <c r="H40" s="237"/>
      <c r="I40" s="237"/>
      <c r="J40" s="257"/>
      <c r="K40" s="257"/>
      <c r="L40" s="257"/>
      <c r="M40" s="258">
        <v>81</v>
      </c>
      <c r="N40" s="18"/>
    </row>
    <row r="41" spans="1:26" ht="18.75" customHeight="1">
      <c r="A41" s="234" t="s">
        <v>38</v>
      </c>
      <c r="B41" s="235"/>
      <c r="C41" s="235" t="s">
        <v>58</v>
      </c>
      <c r="D41" s="236">
        <f t="shared" si="2"/>
        <v>5</v>
      </c>
      <c r="E41" s="237">
        <f t="shared" si="3"/>
        <v>1</v>
      </c>
      <c r="F41" s="237">
        <v>4</v>
      </c>
      <c r="G41" s="237"/>
      <c r="H41" s="237"/>
      <c r="I41" s="237"/>
      <c r="J41" s="263"/>
      <c r="K41" s="257"/>
      <c r="L41" s="257"/>
      <c r="M41" s="258">
        <v>83</v>
      </c>
      <c r="N41" s="18"/>
      <c r="O41" s="41"/>
      <c r="P41" s="21"/>
      <c r="Q41" s="100"/>
      <c r="R41" s="21"/>
      <c r="S41" s="44" t="s">
        <v>78</v>
      </c>
      <c r="T41" s="44" t="s">
        <v>62</v>
      </c>
      <c r="U41" s="169"/>
      <c r="V41" s="44" t="s">
        <v>18</v>
      </c>
      <c r="W41" s="44" t="s">
        <v>64</v>
      </c>
      <c r="X41" s="44" t="s">
        <v>63</v>
      </c>
      <c r="Y41" s="44"/>
      <c r="Z41" s="170" t="s">
        <v>43</v>
      </c>
    </row>
    <row r="42" spans="1:26" ht="18.75" customHeight="1">
      <c r="A42" s="234" t="s">
        <v>155</v>
      </c>
      <c r="B42" s="235"/>
      <c r="C42" s="235" t="s">
        <v>58</v>
      </c>
      <c r="D42" s="236">
        <f>+E42+F42+H42+I42+G42</f>
        <v>1</v>
      </c>
      <c r="E42" s="237">
        <f>IF(C42="Int",intmod,IF(C42="Dex",dexmod,IF(C42="Cha",chamod,IF(C42="Str",strmod,IF(C42="Con",conmod,wismod)))))</f>
        <v>1</v>
      </c>
      <c r="F42" s="237">
        <v>0</v>
      </c>
      <c r="G42" s="237"/>
      <c r="H42" s="237"/>
      <c r="I42" s="237"/>
      <c r="J42" s="257"/>
      <c r="K42" s="257"/>
      <c r="L42" s="257"/>
      <c r="M42" s="258">
        <v>83</v>
      </c>
      <c r="N42" s="18"/>
      <c r="O42" s="447" t="s">
        <v>271</v>
      </c>
      <c r="P42" s="17"/>
      <c r="Q42" s="17"/>
      <c r="R42" s="17"/>
      <c r="S42" s="135" t="s">
        <v>176</v>
      </c>
      <c r="T42" s="135">
        <v>4</v>
      </c>
      <c r="U42" s="135"/>
      <c r="V42" s="135">
        <f>4+1</f>
        <v>5</v>
      </c>
      <c r="W42" s="135">
        <v>-1</v>
      </c>
      <c r="X42" s="242">
        <v>0.2</v>
      </c>
      <c r="Y42" s="135"/>
      <c r="Z42" s="60">
        <v>25</v>
      </c>
    </row>
    <row r="43" spans="1:35" ht="18.75" customHeight="1">
      <c r="A43" s="234" t="s">
        <v>39</v>
      </c>
      <c r="B43" s="235"/>
      <c r="C43" s="235" t="s">
        <v>60</v>
      </c>
      <c r="D43" s="236">
        <f t="shared" si="2"/>
        <v>8</v>
      </c>
      <c r="E43" s="237">
        <f t="shared" si="3"/>
        <v>5</v>
      </c>
      <c r="F43" s="237">
        <f>4+1</f>
        <v>5</v>
      </c>
      <c r="G43" s="237">
        <f>2*(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)</f>
        <v>-2</v>
      </c>
      <c r="H43" s="237"/>
      <c r="I43" s="237"/>
      <c r="J43" s="257"/>
      <c r="K43" s="257"/>
      <c r="L43" s="257"/>
      <c r="M43" s="258">
        <v>84</v>
      </c>
      <c r="N43" s="18"/>
      <c r="O43" s="247" t="s">
        <v>184</v>
      </c>
      <c r="P43" s="149"/>
      <c r="Q43" s="24"/>
      <c r="R43" s="24"/>
      <c r="S43" s="240" t="s">
        <v>182</v>
      </c>
      <c r="T43" s="240"/>
      <c r="U43" s="24"/>
      <c r="V43" s="240">
        <v>0</v>
      </c>
      <c r="W43" s="204">
        <v>0</v>
      </c>
      <c r="X43" s="241">
        <v>0</v>
      </c>
      <c r="Y43" s="24"/>
      <c r="Z43" s="293">
        <v>0</v>
      </c>
      <c r="AC43" s="19"/>
      <c r="AD43" s="20"/>
      <c r="AE43" s="20"/>
      <c r="AF43" s="20"/>
      <c r="AG43" s="29" t="s">
        <v>106</v>
      </c>
      <c r="AH43" s="20"/>
      <c r="AI43" s="23"/>
    </row>
    <row r="44" spans="1:35" ht="18.75" customHeight="1">
      <c r="A44" s="234" t="s">
        <v>40</v>
      </c>
      <c r="B44" s="235"/>
      <c r="C44" s="235" t="s">
        <v>57</v>
      </c>
      <c r="D44" s="236">
        <f>+E44+F44+H44+I44+G44</f>
        <v>7</v>
      </c>
      <c r="E44" s="237">
        <f t="shared" si="3"/>
        <v>3</v>
      </c>
      <c r="F44" s="237">
        <v>4</v>
      </c>
      <c r="G44" s="237"/>
      <c r="H44" s="237"/>
      <c r="I44" s="254"/>
      <c r="J44" s="256" t="s">
        <v>186</v>
      </c>
      <c r="K44" s="257"/>
      <c r="L44" s="257"/>
      <c r="M44" s="258">
        <v>86</v>
      </c>
      <c r="N44" s="18"/>
      <c r="O44" s="22"/>
      <c r="P44" s="99" t="s">
        <v>79</v>
      </c>
      <c r="Q44" s="22"/>
      <c r="R44" s="22"/>
      <c r="S44" s="49"/>
      <c r="T44" s="22"/>
      <c r="U44" s="22"/>
      <c r="V44" s="22"/>
      <c r="W44" s="22"/>
      <c r="X44" s="22"/>
      <c r="Y44" s="22"/>
      <c r="Z44" s="22"/>
      <c r="AC44" s="15"/>
      <c r="AD44" s="5" t="s">
        <v>104</v>
      </c>
      <c r="AE44" s="5" t="s">
        <v>105</v>
      </c>
      <c r="AF44" s="5"/>
      <c r="AG44" s="5" t="s">
        <v>107</v>
      </c>
      <c r="AH44" s="5" t="s">
        <v>108</v>
      </c>
      <c r="AI44" s="10" t="s">
        <v>42</v>
      </c>
    </row>
    <row r="45" spans="1:35" ht="18.75" customHeight="1">
      <c r="A45" s="71"/>
      <c r="B45" s="96"/>
      <c r="C45" s="96"/>
      <c r="D45" s="111"/>
      <c r="E45" s="59"/>
      <c r="F45" s="59"/>
      <c r="G45" s="59"/>
      <c r="H45" s="59"/>
      <c r="I45" s="59"/>
      <c r="J45" s="46"/>
      <c r="K45" s="46"/>
      <c r="L45" s="46"/>
      <c r="M45" s="78"/>
      <c r="N45" s="18"/>
      <c r="U45" s="22"/>
      <c r="AC45" s="15" t="s">
        <v>77</v>
      </c>
      <c r="AD45" s="5">
        <v>3</v>
      </c>
      <c r="AE45" s="5">
        <v>-3</v>
      </c>
      <c r="AF45" s="5"/>
      <c r="AG45" s="5">
        <v>20</v>
      </c>
      <c r="AH45" s="5">
        <v>15</v>
      </c>
      <c r="AI45" s="10" t="s">
        <v>69</v>
      </c>
    </row>
    <row r="46" spans="1:35" ht="18.75" customHeight="1">
      <c r="A46" s="71" t="s">
        <v>221</v>
      </c>
      <c r="B46" s="96"/>
      <c r="C46" s="96" t="s">
        <v>54</v>
      </c>
      <c r="D46" s="236">
        <f>+E46+F46+H46+I46+G46</f>
        <v>4</v>
      </c>
      <c r="E46" s="237">
        <f t="shared" si="3"/>
        <v>2</v>
      </c>
      <c r="F46" s="59">
        <v>0</v>
      </c>
      <c r="G46" s="59"/>
      <c r="H46" s="59"/>
      <c r="I46" s="59">
        <f>M61</f>
        <v>2</v>
      </c>
      <c r="J46" s="317" t="s">
        <v>204</v>
      </c>
      <c r="K46" s="316"/>
      <c r="L46" s="46"/>
      <c r="M46" s="162">
        <v>14</v>
      </c>
      <c r="N46" s="18"/>
      <c r="O46" s="101"/>
      <c r="P46" s="68"/>
      <c r="Q46" s="95"/>
      <c r="R46" s="102" t="s">
        <v>44</v>
      </c>
      <c r="S46" s="102" t="s">
        <v>77</v>
      </c>
      <c r="T46" s="103" t="s">
        <v>45</v>
      </c>
      <c r="U46" s="22"/>
      <c r="V46" s="67" t="s">
        <v>72</v>
      </c>
      <c r="W46" s="21"/>
      <c r="X46" s="68"/>
      <c r="Y46" s="21"/>
      <c r="Z46" s="69" t="s">
        <v>43</v>
      </c>
      <c r="AC46" s="16" t="s">
        <v>45</v>
      </c>
      <c r="AD46" s="6">
        <v>1</v>
      </c>
      <c r="AE46" s="6">
        <v>-6</v>
      </c>
      <c r="AF46" s="6"/>
      <c r="AG46" s="6">
        <v>20</v>
      </c>
      <c r="AH46" s="6">
        <v>15</v>
      </c>
      <c r="AI46" s="11" t="s">
        <v>70</v>
      </c>
    </row>
    <row r="47" spans="1:26" ht="18.75" customHeight="1">
      <c r="A47" s="71" t="s">
        <v>222</v>
      </c>
      <c r="B47" s="96"/>
      <c r="C47" s="96" t="s">
        <v>54</v>
      </c>
      <c r="D47" s="236">
        <f>+E47+F47+H47+I47+G47</f>
        <v>4</v>
      </c>
      <c r="E47" s="237">
        <f>IF(C47="Int",intmod,IF(C47="Dex",dexmod,IF(C47="Cha",chamod,IF(C47="Str",strmod,IF(C47="Con",conmod,wismod)))))</f>
        <v>2</v>
      </c>
      <c r="F47" s="59">
        <v>2</v>
      </c>
      <c r="G47" s="59"/>
      <c r="H47" s="59"/>
      <c r="I47" s="59"/>
      <c r="J47" s="46" t="s">
        <v>223</v>
      </c>
      <c r="K47" s="46"/>
      <c r="L47" s="46"/>
      <c r="M47" s="162">
        <v>24</v>
      </c>
      <c r="N47" s="18"/>
      <c r="O47" s="61" t="s">
        <v>43</v>
      </c>
      <c r="P47" s="58"/>
      <c r="Q47" s="58"/>
      <c r="R47" s="59">
        <f>LOOKUP(str,AC14:AD26)</f>
        <v>133</v>
      </c>
      <c r="S47" s="59">
        <f>LOOKUP(str,AC14:AE26)</f>
        <v>266</v>
      </c>
      <c r="T47" s="60">
        <f>LOOKUP(str,AC14:AF26)</f>
        <v>400</v>
      </c>
      <c r="U47" s="22"/>
      <c r="V47" s="70" t="s">
        <v>179</v>
      </c>
      <c r="W47" s="22"/>
      <c r="X47" s="58"/>
      <c r="Y47" s="22"/>
      <c r="Z47" s="60">
        <v>2</v>
      </c>
    </row>
    <row r="48" spans="1:26" ht="18.75" customHeight="1">
      <c r="A48" s="71" t="s">
        <v>257</v>
      </c>
      <c r="B48" s="96"/>
      <c r="C48" s="235" t="s">
        <v>58</v>
      </c>
      <c r="D48" s="236">
        <f>+E48+F48+H48+I48+G48</f>
        <v>6</v>
      </c>
      <c r="E48" s="237">
        <f>IF(C48="Int",intmod,IF(C48="Dex",dexmod,IF(C48="Cha",chamod,IF(C48="Str",strmod,IF(C48="Con",conmod,wismod)))))</f>
        <v>1</v>
      </c>
      <c r="F48" s="59">
        <f>1+4</f>
        <v>5</v>
      </c>
      <c r="G48" s="59"/>
      <c r="H48" s="237"/>
      <c r="I48" s="59"/>
      <c r="K48" s="46"/>
      <c r="L48" s="46"/>
      <c r="M48" s="162"/>
      <c r="N48" s="18"/>
      <c r="O48" s="61" t="s">
        <v>41</v>
      </c>
      <c r="P48" s="58"/>
      <c r="Q48" s="58"/>
      <c r="R48" s="59">
        <v>30</v>
      </c>
      <c r="S48" s="59">
        <v>30</v>
      </c>
      <c r="T48" s="60">
        <v>20</v>
      </c>
      <c r="U48" s="22"/>
      <c r="V48" s="70" t="s">
        <v>180</v>
      </c>
      <c r="W48" s="22"/>
      <c r="X48" s="58"/>
      <c r="Y48" s="22"/>
      <c r="Z48" s="231">
        <v>2</v>
      </c>
    </row>
    <row r="49" spans="1:26" ht="18.75" customHeight="1">
      <c r="A49" s="71" t="s">
        <v>258</v>
      </c>
      <c r="B49" s="96"/>
      <c r="C49" s="235" t="s">
        <v>58</v>
      </c>
      <c r="D49" s="236">
        <f>+E49+F49+H49+I49+G49</f>
        <v>3</v>
      </c>
      <c r="E49" s="237">
        <f>IF(C49="Int",intmod,IF(C49="Dex",dexmod,IF(C49="Cha",chamod,IF(C49="Str",strmod,IF(C49="Con",conmod,wismod)))))</f>
        <v>1</v>
      </c>
      <c r="F49" s="59">
        <v>2</v>
      </c>
      <c r="G49" s="59"/>
      <c r="H49" s="59"/>
      <c r="I49" s="59"/>
      <c r="J49" s="228"/>
      <c r="K49" s="46"/>
      <c r="L49" s="46"/>
      <c r="M49" s="162"/>
      <c r="N49" s="18"/>
      <c r="O49" s="61" t="s">
        <v>42</v>
      </c>
      <c r="P49" s="58"/>
      <c r="Q49" s="58"/>
      <c r="R49" s="59" t="s">
        <v>69</v>
      </c>
      <c r="S49" s="59" t="s">
        <v>69</v>
      </c>
      <c r="T49" s="60" t="s">
        <v>70</v>
      </c>
      <c r="U49" s="243">
        <f>IF(T52&lt;0,"!","")</f>
      </c>
      <c r="V49" s="70" t="s">
        <v>181</v>
      </c>
      <c r="W49" s="22"/>
      <c r="X49" s="58"/>
      <c r="Y49" s="22"/>
      <c r="Z49" s="231">
        <v>4</v>
      </c>
    </row>
    <row r="50" spans="1:26" ht="18.75" customHeight="1">
      <c r="A50" s="71"/>
      <c r="B50" s="96"/>
      <c r="C50" s="96"/>
      <c r="D50" s="111"/>
      <c r="E50" s="59"/>
      <c r="F50" s="205"/>
      <c r="G50" s="59"/>
      <c r="H50" s="59"/>
      <c r="I50" s="59"/>
      <c r="J50" s="228"/>
      <c r="K50" s="46"/>
      <c r="L50" s="46"/>
      <c r="M50" s="162"/>
      <c r="N50" s="18"/>
      <c r="O50" s="57" t="s">
        <v>104</v>
      </c>
      <c r="P50" s="58"/>
      <c r="Q50" s="58"/>
      <c r="R50" s="59">
        <v>0</v>
      </c>
      <c r="S50" s="59">
        <v>3</v>
      </c>
      <c r="T50" s="60">
        <v>1</v>
      </c>
      <c r="U50" s="243"/>
      <c r="V50" s="70" t="s">
        <v>177</v>
      </c>
      <c r="W50" s="22"/>
      <c r="X50" s="58"/>
      <c r="Y50" s="22"/>
      <c r="Z50" s="60">
        <v>2</v>
      </c>
    </row>
    <row r="51" spans="1:26" ht="18.75" customHeight="1">
      <c r="A51" s="71"/>
      <c r="B51" s="96"/>
      <c r="C51" s="96"/>
      <c r="D51" s="111"/>
      <c r="E51" s="59"/>
      <c r="F51" s="59"/>
      <c r="G51" s="59"/>
      <c r="H51" s="59"/>
      <c r="I51" s="59"/>
      <c r="J51" s="46"/>
      <c r="K51" s="46"/>
      <c r="L51" s="46"/>
      <c r="M51" s="162"/>
      <c r="N51" s="18"/>
      <c r="O51" s="57" t="s">
        <v>116</v>
      </c>
      <c r="P51" s="58"/>
      <c r="Q51" s="58"/>
      <c r="R51" s="59">
        <v>0</v>
      </c>
      <c r="S51" s="59">
        <v>-3</v>
      </c>
      <c r="T51" s="60">
        <v>-6</v>
      </c>
      <c r="U51" s="243"/>
      <c r="V51" s="61" t="s">
        <v>270</v>
      </c>
      <c r="W51" s="22"/>
      <c r="X51" s="58"/>
      <c r="Y51" s="22"/>
      <c r="Z51" s="60"/>
    </row>
    <row r="52" spans="1:26" ht="18.75" customHeight="1">
      <c r="A52" s="71"/>
      <c r="B52" s="96"/>
      <c r="C52" s="96"/>
      <c r="D52" s="111"/>
      <c r="E52" s="59"/>
      <c r="F52" s="59"/>
      <c r="G52" s="59"/>
      <c r="H52" s="59"/>
      <c r="I52" s="59"/>
      <c r="J52" s="46"/>
      <c r="K52" s="46"/>
      <c r="L52" s="46"/>
      <c r="M52" s="162"/>
      <c r="N52" s="18"/>
      <c r="O52" s="61" t="s">
        <v>153</v>
      </c>
      <c r="P52" s="62"/>
      <c r="Q52" s="62"/>
      <c r="R52" s="63" t="str">
        <f>IF(totalweight&lt;=Lightweight,"Light",Lightweight-totalweight)</f>
        <v>Light</v>
      </c>
      <c r="S52" s="63">
        <f>IF(totalweight&gt;Lightweight,IF(totalweight&lt;=Mediumweight,"Medium",Mediumweight-totalweight),Lightweight-totalweight)</f>
        <v>66</v>
      </c>
      <c r="T52" s="64">
        <f>IF(totalweight&gt;Mediumweight,IF(totalweight&lt;=Heavyweight,"Heavy",Heavyweight-totalweight),Mediumweight-totalweight)</f>
        <v>199</v>
      </c>
      <c r="U52" s="22"/>
      <c r="V52" s="61" t="s">
        <v>272</v>
      </c>
      <c r="W52" s="22"/>
      <c r="X52" s="58"/>
      <c r="Y52" s="22"/>
      <c r="Z52" s="60"/>
    </row>
    <row r="53" spans="1:26" ht="18.75" customHeight="1">
      <c r="A53" s="71"/>
      <c r="B53" s="96"/>
      <c r="C53" s="96"/>
      <c r="D53" s="111"/>
      <c r="E53" s="59"/>
      <c r="F53" s="59"/>
      <c r="G53" s="59"/>
      <c r="H53" s="59"/>
      <c r="I53" s="59"/>
      <c r="J53" s="46"/>
      <c r="K53" s="46"/>
      <c r="L53" s="46"/>
      <c r="M53" s="162"/>
      <c r="N53" s="18"/>
      <c r="O53" s="53"/>
      <c r="P53" s="65"/>
      <c r="Q53" s="65"/>
      <c r="R53" s="65"/>
      <c r="S53" s="58"/>
      <c r="T53" s="66"/>
      <c r="U53" s="22"/>
      <c r="V53" s="70" t="s">
        <v>278</v>
      </c>
      <c r="W53" s="22"/>
      <c r="X53" s="58"/>
      <c r="Y53" s="22"/>
      <c r="Z53" s="60"/>
    </row>
    <row r="54" spans="1:35" ht="18.75" customHeight="1">
      <c r="A54" s="71"/>
      <c r="B54" s="96"/>
      <c r="C54" s="96"/>
      <c r="D54" s="111"/>
      <c r="E54" s="59"/>
      <c r="F54" s="59"/>
      <c r="G54" s="59"/>
      <c r="H54" s="59"/>
      <c r="I54" s="59"/>
      <c r="J54" s="46"/>
      <c r="K54" s="46"/>
      <c r="L54" s="46"/>
      <c r="M54" s="37"/>
      <c r="N54" s="18"/>
      <c r="O54" s="70" t="s">
        <v>101</v>
      </c>
      <c r="P54" s="58"/>
      <c r="Q54" s="58"/>
      <c r="R54" s="58">
        <f>Heavyweight</f>
        <v>400</v>
      </c>
      <c r="S54" s="58"/>
      <c r="T54" s="66"/>
      <c r="U54" s="22"/>
      <c r="V54" s="61" t="s">
        <v>279</v>
      </c>
      <c r="W54" s="22"/>
      <c r="X54" s="58"/>
      <c r="Y54" s="22"/>
      <c r="Z54" s="231"/>
      <c r="AC54" s="299" t="s">
        <v>19</v>
      </c>
      <c r="AD54" s="300" t="s">
        <v>96</v>
      </c>
      <c r="AE54" s="300" t="s">
        <v>97</v>
      </c>
      <c r="AF54" s="300" t="s">
        <v>98</v>
      </c>
      <c r="AG54" s="300" t="s">
        <v>99</v>
      </c>
      <c r="AH54" s="300" t="s">
        <v>100</v>
      </c>
      <c r="AI54" s="300" t="s">
        <v>43</v>
      </c>
    </row>
    <row r="55" spans="1:35" ht="18.75" customHeight="1">
      <c r="A55" s="15"/>
      <c r="B55" s="153"/>
      <c r="C55" s="154" t="s">
        <v>194</v>
      </c>
      <c r="D55" s="155">
        <f>+Class1_lvl+3</f>
        <v>7</v>
      </c>
      <c r="E55" s="1"/>
      <c r="F55" s="154" t="s">
        <v>226</v>
      </c>
      <c r="G55" s="155">
        <v>4</v>
      </c>
      <c r="H55" s="154" t="s">
        <v>172</v>
      </c>
      <c r="I55" s="155">
        <f>+((intmod+4)*4)+((intmod+4)*(Class1_lvl-1))</f>
        <v>42</v>
      </c>
      <c r="K55" s="331"/>
      <c r="L55" s="332" t="s">
        <v>227</v>
      </c>
      <c r="M55" s="333">
        <f>SUM(F21:F53)</f>
        <v>46</v>
      </c>
      <c r="N55" s="18"/>
      <c r="O55" s="70" t="s">
        <v>102</v>
      </c>
      <c r="P55" s="58"/>
      <c r="Q55" s="58"/>
      <c r="R55" s="58">
        <f>2*Heavyweight</f>
        <v>800</v>
      </c>
      <c r="S55" s="58"/>
      <c r="T55" s="66"/>
      <c r="U55" s="22"/>
      <c r="V55" s="61" t="s">
        <v>288</v>
      </c>
      <c r="W55" s="22"/>
      <c r="X55" s="58"/>
      <c r="Y55" s="22"/>
      <c r="Z55" s="60"/>
      <c r="AC55" s="25" t="s">
        <v>84</v>
      </c>
      <c r="AD55" s="4">
        <v>1</v>
      </c>
      <c r="AE55" s="4">
        <v>8</v>
      </c>
      <c r="AF55" s="4">
        <v>0</v>
      </c>
      <c r="AG55" s="27">
        <v>0.05</v>
      </c>
      <c r="AH55" s="4"/>
      <c r="AI55" s="4">
        <v>10</v>
      </c>
    </row>
    <row r="56" spans="1:35" ht="18.75" customHeight="1">
      <c r="A56" s="304"/>
      <c r="B56" s="156"/>
      <c r="C56" s="157" t="s">
        <v>196</v>
      </c>
      <c r="D56" s="207">
        <v>4</v>
      </c>
      <c r="E56" s="149"/>
      <c r="F56" s="149"/>
      <c r="G56" s="157"/>
      <c r="H56" s="207"/>
      <c r="I56" s="157"/>
      <c r="J56" s="207"/>
      <c r="K56" s="334"/>
      <c r="L56" s="335" t="s">
        <v>173</v>
      </c>
      <c r="M56" s="336">
        <f>+I55+D56</f>
        <v>46</v>
      </c>
      <c r="N56" s="18"/>
      <c r="O56" s="104" t="s">
        <v>103</v>
      </c>
      <c r="P56" s="105"/>
      <c r="Q56" s="105"/>
      <c r="R56" s="105">
        <f>5*Heavyweight</f>
        <v>2000</v>
      </c>
      <c r="S56" s="105"/>
      <c r="T56" s="106"/>
      <c r="U56" s="22"/>
      <c r="V56" s="61" t="s">
        <v>289</v>
      </c>
      <c r="W56" s="22"/>
      <c r="X56" s="58"/>
      <c r="Y56" s="22"/>
      <c r="Z56" s="231"/>
      <c r="AC56" s="25" t="s">
        <v>85</v>
      </c>
      <c r="AD56" s="4">
        <v>2</v>
      </c>
      <c r="AE56" s="4">
        <v>6</v>
      </c>
      <c r="AF56" s="4">
        <v>0</v>
      </c>
      <c r="AG56" s="27">
        <v>0.1</v>
      </c>
      <c r="AH56" s="4"/>
      <c r="AI56" s="4">
        <v>15</v>
      </c>
    </row>
    <row r="57" spans="1:35" ht="18.75" customHeight="1">
      <c r="A57" s="22"/>
      <c r="B57" s="18"/>
      <c r="C57" s="22"/>
      <c r="D57" s="22"/>
      <c r="E57" s="22"/>
      <c r="F57" s="22"/>
      <c r="G57" s="22"/>
      <c r="H57" s="49"/>
      <c r="I57" s="22"/>
      <c r="J57" s="22"/>
      <c r="K57" s="22"/>
      <c r="L57" s="18"/>
      <c r="M57" s="18"/>
      <c r="N57" s="18"/>
      <c r="U57" s="22"/>
      <c r="V57" s="71" t="s">
        <v>290</v>
      </c>
      <c r="W57" s="22"/>
      <c r="X57" s="58"/>
      <c r="Y57" s="22"/>
      <c r="Z57" s="60"/>
      <c r="AC57" s="25" t="s">
        <v>86</v>
      </c>
      <c r="AD57" s="4">
        <v>3</v>
      </c>
      <c r="AE57" s="4">
        <v>5</v>
      </c>
      <c r="AF57" s="4">
        <v>-1</v>
      </c>
      <c r="AG57" s="27">
        <v>0.15</v>
      </c>
      <c r="AH57" s="4"/>
      <c r="AI57" s="4">
        <v>20</v>
      </c>
    </row>
    <row r="58" spans="1:35" ht="18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R58" s="149"/>
      <c r="U58" s="22"/>
      <c r="V58" s="71"/>
      <c r="W58" s="22"/>
      <c r="X58" s="58"/>
      <c r="Y58" s="22"/>
      <c r="Z58" s="60"/>
      <c r="AC58" s="25" t="s">
        <v>87</v>
      </c>
      <c r="AD58" s="4">
        <v>4</v>
      </c>
      <c r="AE58" s="4">
        <v>4</v>
      </c>
      <c r="AF58" s="4">
        <v>-2</v>
      </c>
      <c r="AG58" s="27">
        <v>0.2</v>
      </c>
      <c r="AH58" s="4"/>
      <c r="AI58" s="4">
        <v>25</v>
      </c>
    </row>
    <row r="59" spans="1:26" ht="18.75" customHeight="1">
      <c r="A59" s="107" t="s">
        <v>66</v>
      </c>
      <c r="B59" s="123"/>
      <c r="C59" s="108"/>
      <c r="D59" s="108"/>
      <c r="E59" s="108" t="s">
        <v>67</v>
      </c>
      <c r="F59" s="123"/>
      <c r="G59" s="123"/>
      <c r="H59" s="123"/>
      <c r="I59" s="123"/>
      <c r="J59" s="123"/>
      <c r="K59" s="123"/>
      <c r="L59" s="123"/>
      <c r="M59" s="124"/>
      <c r="N59" s="18"/>
      <c r="O59" s="41"/>
      <c r="P59" s="160"/>
      <c r="Q59" s="161"/>
      <c r="R59" s="259"/>
      <c r="S59" s="161"/>
      <c r="T59" s="206"/>
      <c r="U59" s="22"/>
      <c r="V59" s="167"/>
      <c r="W59" s="22"/>
      <c r="X59" s="58"/>
      <c r="Y59" s="22"/>
      <c r="Z59" s="60"/>
    </row>
    <row r="60" spans="1:35" ht="18.75" customHeight="1">
      <c r="A60" s="125" t="s">
        <v>202</v>
      </c>
      <c r="B60" s="120"/>
      <c r="C60" s="119"/>
      <c r="D60" s="131"/>
      <c r="E60" s="119" t="s">
        <v>203</v>
      </c>
      <c r="F60" s="120"/>
      <c r="G60" s="120"/>
      <c r="H60" s="120"/>
      <c r="I60" s="120"/>
      <c r="J60" s="120"/>
      <c r="K60" s="120"/>
      <c r="L60" s="120"/>
      <c r="M60" s="121"/>
      <c r="N60" s="18"/>
      <c r="O60" s="53"/>
      <c r="P60" s="96"/>
      <c r="Q60" s="119"/>
      <c r="R60" s="1"/>
      <c r="S60" s="301"/>
      <c r="T60" s="176"/>
      <c r="U60" s="22"/>
      <c r="V60" s="167"/>
      <c r="W60" s="22"/>
      <c r="X60" s="58"/>
      <c r="Y60" s="22"/>
      <c r="Z60" s="60"/>
      <c r="AC60" s="25" t="s">
        <v>29</v>
      </c>
      <c r="AD60" s="4">
        <v>3</v>
      </c>
      <c r="AE60" s="4">
        <v>4</v>
      </c>
      <c r="AF60" s="4">
        <v>-3</v>
      </c>
      <c r="AG60" s="27">
        <v>0.2</v>
      </c>
      <c r="AH60" s="4"/>
      <c r="AI60" s="4">
        <v>25</v>
      </c>
    </row>
    <row r="61" spans="1:35" ht="18.75" customHeight="1">
      <c r="A61" s="125" t="s">
        <v>204</v>
      </c>
      <c r="B61" s="120"/>
      <c r="C61" s="119"/>
      <c r="D61" s="131"/>
      <c r="E61" s="314" t="s">
        <v>206</v>
      </c>
      <c r="F61" s="142"/>
      <c r="G61" s="120"/>
      <c r="H61" s="120"/>
      <c r="I61" s="120"/>
      <c r="J61" s="120"/>
      <c r="L61" s="315" t="s">
        <v>205</v>
      </c>
      <c r="M61" s="319">
        <v>2</v>
      </c>
      <c r="N61" s="18"/>
      <c r="O61" s="53"/>
      <c r="P61" s="96"/>
      <c r="Q61" s="119"/>
      <c r="R61" s="1"/>
      <c r="S61" s="301"/>
      <c r="T61" s="176"/>
      <c r="U61" s="22"/>
      <c r="V61" s="167"/>
      <c r="W61" s="22"/>
      <c r="X61" s="58"/>
      <c r="Y61" s="22"/>
      <c r="Z61" s="60"/>
      <c r="AC61" s="25" t="s">
        <v>91</v>
      </c>
      <c r="AD61" s="4">
        <v>4</v>
      </c>
      <c r="AE61" s="4">
        <v>3</v>
      </c>
      <c r="AF61" s="4">
        <v>-4</v>
      </c>
      <c r="AG61" s="27">
        <v>0.25</v>
      </c>
      <c r="AH61" s="4"/>
      <c r="AI61" s="4">
        <v>30</v>
      </c>
    </row>
    <row r="62" spans="1:35" ht="18.75" customHeight="1">
      <c r="A62" s="125" t="s">
        <v>207</v>
      </c>
      <c r="B62" s="120"/>
      <c r="C62" s="119"/>
      <c r="D62" s="131"/>
      <c r="E62" s="119" t="s">
        <v>208</v>
      </c>
      <c r="F62" s="120"/>
      <c r="G62" s="120"/>
      <c r="H62" s="120"/>
      <c r="I62" s="120"/>
      <c r="J62" s="120"/>
      <c r="L62" s="315" t="s">
        <v>205</v>
      </c>
      <c r="M62" s="319">
        <v>4</v>
      </c>
      <c r="N62" s="18"/>
      <c r="O62" s="268"/>
      <c r="P62" s="96"/>
      <c r="Q62" s="265"/>
      <c r="R62" s="1"/>
      <c r="S62" s="1"/>
      <c r="T62" s="2"/>
      <c r="U62" s="22"/>
      <c r="V62" s="71"/>
      <c r="W62" s="58"/>
      <c r="X62" s="58"/>
      <c r="Y62" s="22"/>
      <c r="Z62" s="60"/>
      <c r="AC62" s="25" t="s">
        <v>90</v>
      </c>
      <c r="AD62" s="4">
        <v>5</v>
      </c>
      <c r="AE62" s="4">
        <v>2</v>
      </c>
      <c r="AF62" s="4">
        <v>-5</v>
      </c>
      <c r="AG62" s="27">
        <v>0.3</v>
      </c>
      <c r="AH62" s="4"/>
      <c r="AI62" s="4">
        <v>40</v>
      </c>
    </row>
    <row r="63" spans="1:35" ht="18.75" customHeight="1">
      <c r="A63" s="125" t="s">
        <v>212</v>
      </c>
      <c r="B63" s="120"/>
      <c r="C63" s="120"/>
      <c r="D63" s="131"/>
      <c r="E63" s="119" t="s">
        <v>213</v>
      </c>
      <c r="F63" s="119"/>
      <c r="G63" s="119"/>
      <c r="H63" s="151"/>
      <c r="I63" s="119"/>
      <c r="J63" s="151"/>
      <c r="L63" s="315" t="s">
        <v>205</v>
      </c>
      <c r="M63" s="319">
        <v>2</v>
      </c>
      <c r="N63" s="18"/>
      <c r="O63" s="268"/>
      <c r="P63" s="96"/>
      <c r="Q63" s="271"/>
      <c r="R63" s="269"/>
      <c r="S63" s="271"/>
      <c r="T63" s="249"/>
      <c r="U63" s="22"/>
      <c r="V63" s="71"/>
      <c r="W63" s="58"/>
      <c r="X63" s="58"/>
      <c r="Y63" s="22"/>
      <c r="Z63" s="60"/>
      <c r="AC63" s="26" t="s">
        <v>88</v>
      </c>
      <c r="AD63" s="4">
        <v>5</v>
      </c>
      <c r="AE63" s="4">
        <v>3</v>
      </c>
      <c r="AF63" s="4">
        <v>-4</v>
      </c>
      <c r="AG63" s="27">
        <v>0.25</v>
      </c>
      <c r="AH63" s="4"/>
      <c r="AI63" s="4">
        <v>30</v>
      </c>
    </row>
    <row r="64" spans="1:26" ht="18.75" customHeight="1">
      <c r="A64" s="125"/>
      <c r="B64" s="120"/>
      <c r="C64" s="120"/>
      <c r="D64" s="126"/>
      <c r="E64" s="232" t="s">
        <v>217</v>
      </c>
      <c r="F64" s="233"/>
      <c r="G64" s="233"/>
      <c r="H64" s="119"/>
      <c r="I64" s="119"/>
      <c r="J64" s="119"/>
      <c r="L64" s="315" t="s">
        <v>205</v>
      </c>
      <c r="M64" s="319">
        <v>1</v>
      </c>
      <c r="N64" s="18"/>
      <c r="O64" s="268"/>
      <c r="P64" s="262"/>
      <c r="Q64" s="302"/>
      <c r="R64" s="269"/>
      <c r="S64" s="303"/>
      <c r="T64" s="249"/>
      <c r="U64" s="22"/>
      <c r="V64" s="71"/>
      <c r="W64" s="58"/>
      <c r="X64" s="58"/>
      <c r="Y64" s="58"/>
      <c r="Z64" s="60"/>
    </row>
    <row r="65" spans="1:35" ht="18.75" customHeight="1">
      <c r="A65" s="127"/>
      <c r="B65" s="120"/>
      <c r="C65" s="128"/>
      <c r="D65" s="130"/>
      <c r="E65" s="173" t="s">
        <v>218</v>
      </c>
      <c r="F65" s="1"/>
      <c r="G65" s="172"/>
      <c r="H65" s="120"/>
      <c r="I65" s="1"/>
      <c r="J65" s="172"/>
      <c r="K65" s="120"/>
      <c r="L65" s="315" t="s">
        <v>205</v>
      </c>
      <c r="M65" s="319">
        <v>4</v>
      </c>
      <c r="N65" s="18"/>
      <c r="O65" s="268"/>
      <c r="P65" s="96"/>
      <c r="Q65" s="264"/>
      <c r="R65" s="267"/>
      <c r="S65" s="1"/>
      <c r="T65" s="270"/>
      <c r="U65" s="22"/>
      <c r="V65" s="71"/>
      <c r="W65" s="58"/>
      <c r="X65" s="58"/>
      <c r="Y65" s="58"/>
      <c r="Z65" s="60"/>
      <c r="AC65" s="26" t="s">
        <v>89</v>
      </c>
      <c r="AD65" s="4">
        <v>6</v>
      </c>
      <c r="AE65" s="4">
        <v>0</v>
      </c>
      <c r="AF65" s="4">
        <v>-7</v>
      </c>
      <c r="AG65" s="27">
        <v>0.4</v>
      </c>
      <c r="AH65" s="4"/>
      <c r="AI65" s="4">
        <v>45</v>
      </c>
    </row>
    <row r="66" spans="1:35" ht="18.75" customHeight="1">
      <c r="A66" s="127" t="s">
        <v>224</v>
      </c>
      <c r="B66" s="120"/>
      <c r="C66" s="129"/>
      <c r="D66" s="130"/>
      <c r="E66" s="119" t="s">
        <v>254</v>
      </c>
      <c r="F66" s="119"/>
      <c r="G66" s="119"/>
      <c r="H66" s="119"/>
      <c r="I66" s="119"/>
      <c r="J66" s="119"/>
      <c r="K66" s="119"/>
      <c r="L66" s="119"/>
      <c r="M66" s="122"/>
      <c r="N66" s="18"/>
      <c r="O66" s="268"/>
      <c r="P66" s="262"/>
      <c r="T66" s="2"/>
      <c r="U66" s="22"/>
      <c r="V66" s="70"/>
      <c r="W66" s="59"/>
      <c r="X66" s="58"/>
      <c r="Y66" s="58"/>
      <c r="Z66" s="60"/>
      <c r="AA66" s="1"/>
      <c r="AC66" s="26" t="s">
        <v>92</v>
      </c>
      <c r="AD66" s="4">
        <v>6</v>
      </c>
      <c r="AE66" s="4">
        <v>1</v>
      </c>
      <c r="AF66" s="4">
        <v>-6</v>
      </c>
      <c r="AG66" s="27">
        <v>0.35</v>
      </c>
      <c r="AH66" s="4"/>
      <c r="AI66" s="4">
        <v>35</v>
      </c>
    </row>
    <row r="67" spans="1:35" ht="18" customHeight="1">
      <c r="A67" s="125" t="s">
        <v>230</v>
      </c>
      <c r="B67" s="120"/>
      <c r="C67" s="120"/>
      <c r="D67" s="131" t="s">
        <v>234</v>
      </c>
      <c r="E67" s="119" t="s">
        <v>231</v>
      </c>
      <c r="F67" s="119"/>
      <c r="G67" s="119"/>
      <c r="H67" s="119"/>
      <c r="I67" s="119"/>
      <c r="J67" s="119"/>
      <c r="K67" s="119"/>
      <c r="L67" s="315" t="s">
        <v>232</v>
      </c>
      <c r="M67" s="319">
        <v>2</v>
      </c>
      <c r="N67" s="18"/>
      <c r="O67" s="268"/>
      <c r="Q67" s="248"/>
      <c r="R67" s="266"/>
      <c r="S67" s="173"/>
      <c r="T67" s="270"/>
      <c r="U67" s="22"/>
      <c r="V67" s="71" t="s">
        <v>292</v>
      </c>
      <c r="W67" s="58" t="s">
        <v>293</v>
      </c>
      <c r="X67" s="58"/>
      <c r="Y67" s="58"/>
      <c r="Z67" s="60"/>
      <c r="AA67" s="1"/>
      <c r="AC67" s="25" t="s">
        <v>93</v>
      </c>
      <c r="AD67" s="4">
        <v>7</v>
      </c>
      <c r="AE67" s="4">
        <v>0</v>
      </c>
      <c r="AF67" s="4">
        <v>-7</v>
      </c>
      <c r="AG67" s="27">
        <v>0.4</v>
      </c>
      <c r="AH67" s="4"/>
      <c r="AI67" s="4">
        <v>50</v>
      </c>
    </row>
    <row r="68" spans="1:35" ht="18" customHeight="1">
      <c r="A68" s="127" t="s">
        <v>264</v>
      </c>
      <c r="B68" s="120"/>
      <c r="C68" s="129"/>
      <c r="D68" s="126"/>
      <c r="E68" s="119" t="s">
        <v>265</v>
      </c>
      <c r="F68" s="119"/>
      <c r="G68" s="119"/>
      <c r="H68" s="223"/>
      <c r="I68" s="223"/>
      <c r="J68" s="119"/>
      <c r="K68" s="119"/>
      <c r="L68" s="119"/>
      <c r="M68" s="122"/>
      <c r="O68" s="268"/>
      <c r="P68" s="261"/>
      <c r="Q68" s="248"/>
      <c r="R68" s="248"/>
      <c r="S68" s="260"/>
      <c r="T68" s="175"/>
      <c r="U68" s="22"/>
      <c r="V68" s="71"/>
      <c r="W68" s="58"/>
      <c r="X68" s="58"/>
      <c r="Y68" s="58"/>
      <c r="Z68" s="60"/>
      <c r="AA68" s="1"/>
      <c r="AC68" s="25" t="s">
        <v>94</v>
      </c>
      <c r="AD68" s="4">
        <v>8</v>
      </c>
      <c r="AE68" s="4">
        <v>1</v>
      </c>
      <c r="AF68" s="4">
        <v>-6</v>
      </c>
      <c r="AG68" s="27">
        <v>0.35</v>
      </c>
      <c r="AH68" s="4"/>
      <c r="AI68" s="4">
        <v>50</v>
      </c>
    </row>
    <row r="69" spans="1:26" ht="18" customHeight="1">
      <c r="A69" s="127" t="s">
        <v>273</v>
      </c>
      <c r="B69" s="120"/>
      <c r="C69" s="129"/>
      <c r="D69" s="126"/>
      <c r="E69" s="448" t="s">
        <v>275</v>
      </c>
      <c r="F69" s="119" t="s">
        <v>274</v>
      </c>
      <c r="G69" s="119"/>
      <c r="H69" s="151"/>
      <c r="I69" s="119"/>
      <c r="J69" s="119"/>
      <c r="K69" s="119"/>
      <c r="L69" s="315"/>
      <c r="M69" s="319"/>
      <c r="O69" s="15"/>
      <c r="T69" s="2"/>
      <c r="U69" s="22"/>
      <c r="V69" s="61" t="s">
        <v>152</v>
      </c>
      <c r="W69" s="22"/>
      <c r="X69" s="72"/>
      <c r="Y69" s="22"/>
      <c r="Z69" s="73">
        <f>SUM(Z47:Z68)</f>
        <v>10</v>
      </c>
    </row>
    <row r="70" spans="1:26" ht="18" customHeight="1" thickBot="1">
      <c r="A70" s="120" t="s">
        <v>280</v>
      </c>
      <c r="B70" s="120"/>
      <c r="C70" s="120"/>
      <c r="D70" s="131"/>
      <c r="E70" s="173" t="s">
        <v>281</v>
      </c>
      <c r="F70" s="119"/>
      <c r="G70" s="151">
        <f>I11</f>
        <v>4</v>
      </c>
      <c r="H70" s="119" t="s">
        <v>282</v>
      </c>
      <c r="I70" s="119"/>
      <c r="J70" s="119"/>
      <c r="K70" s="119"/>
      <c r="L70" s="315"/>
      <c r="M70" s="319"/>
      <c r="O70" s="268"/>
      <c r="P70" s="96"/>
      <c r="Q70" s="269"/>
      <c r="R70" s="269"/>
      <c r="S70" s="269"/>
      <c r="T70" s="272"/>
      <c r="U70" s="22"/>
      <c r="V70" s="70" t="s">
        <v>65</v>
      </c>
      <c r="W70" s="22"/>
      <c r="X70" s="74"/>
      <c r="Y70" s="22"/>
      <c r="Z70" s="75">
        <f>+wp1wgt+wp2wgt+wp3wgt+wp4wgt+armor1wgt+armor2wgt</f>
        <v>57</v>
      </c>
    </row>
    <row r="71" spans="1:35" ht="18" customHeight="1">
      <c r="A71" s="244"/>
      <c r="B71" s="224"/>
      <c r="C71" s="224"/>
      <c r="D71" s="225"/>
      <c r="E71" s="166"/>
      <c r="F71" s="166"/>
      <c r="G71" s="166"/>
      <c r="H71" s="166"/>
      <c r="I71" s="166"/>
      <c r="J71" s="166"/>
      <c r="K71" s="166"/>
      <c r="L71" s="224"/>
      <c r="M71" s="226"/>
      <c r="O71" s="286"/>
      <c r="P71" s="273"/>
      <c r="Q71" s="273"/>
      <c r="R71" s="273"/>
      <c r="S71" s="273"/>
      <c r="T71" s="287"/>
      <c r="U71" s="22"/>
      <c r="V71" s="76" t="s">
        <v>61</v>
      </c>
      <c r="W71" s="24"/>
      <c r="X71" s="77"/>
      <c r="Y71" s="24"/>
      <c r="Z71" s="73">
        <f>Z70+Z69</f>
        <v>67</v>
      </c>
      <c r="AC71" s="25" t="s">
        <v>95</v>
      </c>
      <c r="AD71" s="4">
        <v>1</v>
      </c>
      <c r="AE71" s="4"/>
      <c r="AF71" s="4">
        <v>-1</v>
      </c>
      <c r="AG71" s="27">
        <v>0.05</v>
      </c>
      <c r="AH71" s="4"/>
      <c r="AI71" s="4">
        <v>5</v>
      </c>
    </row>
    <row r="72" spans="1:21" ht="18" customHeight="1">
      <c r="A72" s="120"/>
      <c r="B72" s="22"/>
      <c r="C72" s="22"/>
      <c r="D72" s="159"/>
      <c r="E72" s="119"/>
      <c r="F72" s="22"/>
      <c r="G72" s="22"/>
      <c r="H72" s="22"/>
      <c r="I72" s="22"/>
      <c r="J72" s="22"/>
      <c r="K72" s="22"/>
      <c r="L72" s="22"/>
      <c r="M72" s="22"/>
      <c r="U72" s="22"/>
    </row>
    <row r="74" ht="18" customHeight="1">
      <c r="U74" s="1"/>
    </row>
    <row r="75" spans="15:20" ht="18" customHeight="1">
      <c r="O75" s="119"/>
      <c r="P75" s="119"/>
      <c r="Q75" s="119"/>
      <c r="R75" s="119"/>
      <c r="S75" s="119"/>
      <c r="T75" s="119"/>
    </row>
    <row r="76" spans="1:26" ht="18" customHeight="1">
      <c r="A76" s="9" t="s">
        <v>178</v>
      </c>
      <c r="N76" s="119"/>
      <c r="O76" s="119"/>
      <c r="P76" s="119"/>
      <c r="Q76" s="119"/>
      <c r="R76" s="119"/>
      <c r="S76" s="119"/>
      <c r="T76" s="119"/>
      <c r="V76" s="119"/>
      <c r="W76" s="119"/>
      <c r="X76" s="119"/>
      <c r="Y76" s="119"/>
      <c r="Z76" s="119"/>
    </row>
    <row r="77" spans="1:26" ht="18" customHeight="1">
      <c r="A77" s="119"/>
      <c r="N77" s="119"/>
      <c r="O77" s="119"/>
      <c r="P77" s="119"/>
      <c r="Q77" s="119"/>
      <c r="R77" s="119"/>
      <c r="S77" s="119"/>
      <c r="T77" s="119"/>
      <c r="V77" s="119"/>
      <c r="W77" s="119"/>
      <c r="X77" s="119"/>
      <c r="Y77" s="119"/>
      <c r="Z77" s="119"/>
    </row>
    <row r="78" spans="1:26" ht="18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V78" s="119"/>
      <c r="W78" s="119"/>
      <c r="X78" s="119"/>
      <c r="Y78" s="119"/>
      <c r="Z78" s="119"/>
    </row>
    <row r="79" spans="1:26" ht="18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V79" s="119"/>
      <c r="W79" s="119"/>
      <c r="X79" s="119"/>
      <c r="Y79" s="119"/>
      <c r="Z79" s="119"/>
    </row>
    <row r="80" spans="1:26" ht="18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8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ht="18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U82" s="119"/>
      <c r="V82" s="119"/>
      <c r="W82" s="119"/>
      <c r="X82" s="119"/>
      <c r="Y82" s="119"/>
      <c r="Z82" s="119"/>
    </row>
    <row r="83" spans="1:21" ht="18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U83" s="119"/>
    </row>
    <row r="84" spans="1:21" ht="18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U84" s="119"/>
    </row>
    <row r="85" spans="1:21" ht="18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U85" s="119"/>
    </row>
    <row r="86" spans="1:21" ht="18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U86" s="119"/>
    </row>
    <row r="87" spans="1:14" ht="18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ht="18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ht="18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3" ht="18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ht="18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104" spans="1:12" ht="18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8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8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8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8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8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8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8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8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8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ht="18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18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8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8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18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ht="18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</sheetData>
  <mergeCells count="8">
    <mergeCell ref="M14:R14"/>
    <mergeCell ref="AI3:AJ3"/>
    <mergeCell ref="K3:L3"/>
    <mergeCell ref="K5:L5"/>
    <mergeCell ref="K7:L7"/>
    <mergeCell ref="O3:P3"/>
    <mergeCell ref="U3:V3"/>
    <mergeCell ref="AC3:AD3"/>
  </mergeCells>
  <printOptions/>
  <pageMargins left="0.22" right="0.14" top="0.24" bottom="0.13" header="0.27" footer="0.22"/>
  <pageSetup fitToHeight="1" fitToWidth="1" horizontalDpi="600" verticalDpi="600" orientation="portrait" paperSize="9" scale="65" r:id="rId5"/>
  <drawing r:id="rId4"/>
  <legacyDrawing r:id="rId3"/>
  <oleObjects>
    <oleObject progId="CorelPHOTOPAINT.Image.13" shapeId="5277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H49" sqref="H49"/>
    </sheetView>
  </sheetViews>
  <sheetFormatPr defaultColWidth="8.796875" defaultRowHeight="15.75"/>
  <cols>
    <col min="1" max="1" width="2" style="211" customWidth="1"/>
    <col min="2" max="2" width="4" style="211" customWidth="1"/>
    <col min="3" max="3" width="17.796875" style="178" customWidth="1"/>
    <col min="4" max="5" width="3.19921875" style="221" customWidth="1"/>
    <col min="6" max="6" width="3.296875" style="180" customWidth="1"/>
    <col min="7" max="7" width="3.8984375" style="211" customWidth="1"/>
    <col min="8" max="8" width="5" style="211" customWidth="1"/>
    <col min="9" max="9" width="3.19921875" style="211" customWidth="1"/>
    <col min="10" max="10" width="4.296875" style="211" customWidth="1"/>
    <col min="11" max="11" width="3.19921875" style="211" customWidth="1"/>
    <col min="12" max="13" width="3.796875" style="216" customWidth="1"/>
    <col min="14" max="14" width="3.796875" style="177" customWidth="1"/>
    <col min="15" max="15" width="34.296875" style="177" customWidth="1"/>
    <col min="16" max="18" width="2.296875" style="211" customWidth="1"/>
    <col min="19" max="19" width="8.59765625" style="211" customWidth="1"/>
    <col min="20" max="20" width="11.69921875" style="180" customWidth="1"/>
    <col min="21" max="21" width="4.796875" style="180" customWidth="1"/>
    <col min="22" max="22" width="7.69921875" style="180" customWidth="1"/>
    <col min="23" max="23" width="4.796875" style="179" customWidth="1"/>
    <col min="24" max="24" width="5.09765625" style="180" customWidth="1"/>
    <col min="25" max="30" width="4.796875" style="180" customWidth="1"/>
    <col min="31" max="16384" width="8.8984375" style="180" customWidth="1"/>
  </cols>
  <sheetData>
    <row r="1" spans="13:35" ht="15.75">
      <c r="M1" s="217"/>
      <c r="N1" s="192"/>
      <c r="O1" s="192"/>
      <c r="P1" s="214"/>
      <c r="Q1" s="214"/>
      <c r="R1" s="214"/>
      <c r="S1" s="214"/>
      <c r="T1" s="181"/>
      <c r="U1" s="181"/>
      <c r="V1" s="181"/>
      <c r="Y1" s="181"/>
      <c r="Z1" s="181"/>
      <c r="AC1" s="182"/>
      <c r="AD1" s="183"/>
      <c r="AE1" s="183"/>
      <c r="AF1" s="183"/>
      <c r="AG1" s="184"/>
      <c r="AH1" s="183"/>
      <c r="AI1" s="183"/>
    </row>
    <row r="2" spans="13:35" ht="15.75">
      <c r="M2" s="217"/>
      <c r="N2" s="192"/>
      <c r="O2" s="192"/>
      <c r="P2" s="214"/>
      <c r="Q2" s="214"/>
      <c r="R2" s="214"/>
      <c r="S2" s="214"/>
      <c r="T2" s="181"/>
      <c r="U2" s="181"/>
      <c r="V2" s="181"/>
      <c r="Y2" s="181"/>
      <c r="Z2" s="181"/>
      <c r="AC2" s="182"/>
      <c r="AD2" s="183"/>
      <c r="AE2" s="183"/>
      <c r="AF2" s="183"/>
      <c r="AG2" s="184"/>
      <c r="AH2" s="183"/>
      <c r="AI2" s="183"/>
    </row>
    <row r="3" spans="1:26" s="196" customFormat="1" ht="13.5">
      <c r="A3" s="279"/>
      <c r="B3" s="279"/>
      <c r="C3" s="277"/>
      <c r="D3" s="279"/>
      <c r="E3" s="279"/>
      <c r="F3" s="277"/>
      <c r="G3" s="279"/>
      <c r="H3" s="279"/>
      <c r="I3" s="279"/>
      <c r="J3" s="279"/>
      <c r="K3" s="279"/>
      <c r="L3" s="279"/>
      <c r="M3" s="279"/>
      <c r="N3" s="485"/>
      <c r="O3" s="485"/>
      <c r="P3" s="485"/>
      <c r="Q3" s="485"/>
      <c r="R3" s="485"/>
      <c r="S3" s="279"/>
      <c r="T3" s="194"/>
      <c r="U3" s="194"/>
      <c r="V3" s="194"/>
      <c r="W3" s="195"/>
      <c r="X3" s="193"/>
      <c r="Y3" s="194"/>
      <c r="Z3" s="194"/>
    </row>
    <row r="4" spans="1:26" s="202" customFormat="1" ht="15">
      <c r="A4" s="215"/>
      <c r="B4" s="215"/>
      <c r="C4" s="288"/>
      <c r="D4" s="280"/>
      <c r="E4" s="280"/>
      <c r="F4" s="281"/>
      <c r="G4" s="215"/>
      <c r="H4" s="215"/>
      <c r="I4" s="215"/>
      <c r="J4" s="215"/>
      <c r="K4" s="215"/>
      <c r="L4" s="215"/>
      <c r="M4" s="215"/>
      <c r="N4" s="282"/>
      <c r="O4" s="282"/>
      <c r="P4" s="215"/>
      <c r="Q4" s="215"/>
      <c r="R4" s="215"/>
      <c r="S4" s="215"/>
      <c r="T4" s="201"/>
      <c r="U4" s="201"/>
      <c r="V4" s="201"/>
      <c r="W4" s="199"/>
      <c r="X4" s="200"/>
      <c r="Y4" s="201"/>
      <c r="Z4" s="201"/>
    </row>
    <row r="5" spans="1:26" s="189" customFormat="1" ht="15">
      <c r="A5" s="274"/>
      <c r="B5" s="274"/>
      <c r="C5" s="292" t="s">
        <v>29</v>
      </c>
      <c r="D5" s="283"/>
      <c r="E5" s="283"/>
      <c r="F5" s="276"/>
      <c r="G5" s="215"/>
      <c r="H5" s="215"/>
      <c r="I5" s="215"/>
      <c r="J5" s="215"/>
      <c r="K5" s="215"/>
      <c r="L5" s="215"/>
      <c r="M5" s="215"/>
      <c r="N5" s="282"/>
      <c r="O5" s="282"/>
      <c r="P5" s="215"/>
      <c r="Q5" s="215"/>
      <c r="R5" s="215"/>
      <c r="S5" s="215"/>
      <c r="T5" s="197"/>
      <c r="U5" s="197"/>
      <c r="V5" s="197"/>
      <c r="W5" s="198"/>
      <c r="X5" s="197"/>
      <c r="Y5" s="197"/>
      <c r="Z5" s="197"/>
    </row>
    <row r="6" spans="1:26" s="202" customFormat="1" ht="15">
      <c r="A6" s="274"/>
      <c r="B6" s="274"/>
      <c r="C6" s="290"/>
      <c r="D6" s="283"/>
      <c r="E6" s="283"/>
      <c r="F6" s="276"/>
      <c r="G6" s="215"/>
      <c r="H6" s="215"/>
      <c r="I6" s="215"/>
      <c r="J6" s="215"/>
      <c r="K6" s="215"/>
      <c r="L6" s="215"/>
      <c r="M6" s="215"/>
      <c r="N6" s="282"/>
      <c r="O6" s="282"/>
      <c r="P6" s="215"/>
      <c r="Q6" s="215"/>
      <c r="R6" s="215"/>
      <c r="S6" s="215"/>
      <c r="T6" s="200"/>
      <c r="U6" s="200"/>
      <c r="V6" s="200"/>
      <c r="W6" s="203"/>
      <c r="X6" s="200"/>
      <c r="Y6" s="200"/>
      <c r="Z6" s="200"/>
    </row>
    <row r="7" spans="1:26" s="189" customFormat="1" ht="15">
      <c r="A7" s="274"/>
      <c r="B7" s="274"/>
      <c r="C7" s="290" t="s">
        <v>187</v>
      </c>
      <c r="D7" s="283"/>
      <c r="E7" s="283"/>
      <c r="F7" s="276"/>
      <c r="G7" s="215"/>
      <c r="H7" s="215"/>
      <c r="I7" s="215"/>
      <c r="J7" s="215"/>
      <c r="K7" s="215"/>
      <c r="L7" s="218"/>
      <c r="M7" s="218"/>
      <c r="N7" s="282"/>
      <c r="O7" s="282"/>
      <c r="P7" s="215"/>
      <c r="Q7" s="215"/>
      <c r="R7" s="215"/>
      <c r="S7" s="215"/>
      <c r="T7" s="197"/>
      <c r="U7" s="197"/>
      <c r="V7" s="197"/>
      <c r="W7" s="198"/>
      <c r="X7" s="197"/>
      <c r="Y7" s="197"/>
      <c r="Z7" s="197"/>
    </row>
    <row r="8" spans="1:26" s="202" customFormat="1" ht="15">
      <c r="A8" s="215"/>
      <c r="B8" s="215"/>
      <c r="C8" s="291"/>
      <c r="D8" s="283"/>
      <c r="E8" s="283"/>
      <c r="F8" s="276"/>
      <c r="G8" s="215"/>
      <c r="H8" s="215"/>
      <c r="I8" s="215"/>
      <c r="J8" s="215"/>
      <c r="K8" s="215"/>
      <c r="L8" s="215"/>
      <c r="M8" s="215"/>
      <c r="N8" s="282"/>
      <c r="O8" s="282"/>
      <c r="P8" s="215"/>
      <c r="Q8" s="215"/>
      <c r="R8" s="215"/>
      <c r="S8" s="215"/>
      <c r="T8" s="200"/>
      <c r="U8" s="200"/>
      <c r="V8" s="200"/>
      <c r="W8" s="203"/>
      <c r="X8" s="200"/>
      <c r="Y8" s="200"/>
      <c r="Z8" s="200"/>
    </row>
    <row r="9" spans="1:26" s="189" customFormat="1" ht="15">
      <c r="A9" s="215"/>
      <c r="B9" s="215"/>
      <c r="C9" s="289"/>
      <c r="D9" s="283"/>
      <c r="E9" s="283"/>
      <c r="F9" s="276"/>
      <c r="G9" s="215"/>
      <c r="H9" s="215"/>
      <c r="I9" s="215"/>
      <c r="J9" s="218"/>
      <c r="K9" s="215"/>
      <c r="L9" s="215"/>
      <c r="M9" s="215"/>
      <c r="N9" s="282"/>
      <c r="O9" s="282"/>
      <c r="P9" s="215"/>
      <c r="Q9" s="215"/>
      <c r="R9" s="215"/>
      <c r="S9" s="215"/>
      <c r="T9" s="197"/>
      <c r="U9" s="197"/>
      <c r="V9" s="197"/>
      <c r="W9" s="198"/>
      <c r="X9" s="197"/>
      <c r="Y9" s="197"/>
      <c r="Z9" s="197"/>
    </row>
    <row r="10" spans="1:26" s="202" customFormat="1" ht="15">
      <c r="A10" s="215"/>
      <c r="B10" s="215"/>
      <c r="C10" s="291"/>
      <c r="D10" s="283"/>
      <c r="E10" s="283"/>
      <c r="F10" s="276"/>
      <c r="G10" s="215"/>
      <c r="H10" s="215"/>
      <c r="I10" s="215"/>
      <c r="J10" s="215"/>
      <c r="K10" s="215"/>
      <c r="L10" s="215"/>
      <c r="M10" s="215"/>
      <c r="N10" s="282"/>
      <c r="O10" s="282"/>
      <c r="P10" s="215"/>
      <c r="Q10" s="215"/>
      <c r="R10" s="215"/>
      <c r="S10" s="215"/>
      <c r="T10" s="200"/>
      <c r="U10" s="200"/>
      <c r="V10" s="200"/>
      <c r="W10" s="203"/>
      <c r="X10" s="200"/>
      <c r="Y10" s="200"/>
      <c r="Z10" s="200"/>
    </row>
    <row r="11" spans="1:26" s="189" customFormat="1" ht="15">
      <c r="A11" s="215"/>
      <c r="B11" s="215"/>
      <c r="C11" s="291"/>
      <c r="D11" s="283"/>
      <c r="E11" s="283"/>
      <c r="F11" s="276"/>
      <c r="G11" s="215"/>
      <c r="H11" s="215"/>
      <c r="I11" s="215"/>
      <c r="J11" s="218"/>
      <c r="K11" s="215"/>
      <c r="L11" s="215"/>
      <c r="M11" s="215"/>
      <c r="N11" s="282"/>
      <c r="O11" s="282"/>
      <c r="P11" s="215"/>
      <c r="Q11" s="215"/>
      <c r="R11" s="215"/>
      <c r="S11" s="215"/>
      <c r="T11" s="197"/>
      <c r="U11" s="197"/>
      <c r="V11" s="197"/>
      <c r="W11" s="198"/>
      <c r="X11" s="197"/>
      <c r="Y11" s="197"/>
      <c r="Z11" s="197"/>
    </row>
    <row r="12" spans="1:26" s="202" customFormat="1" ht="15" customHeight="1">
      <c r="A12" s="215"/>
      <c r="B12" s="215"/>
      <c r="C12" s="291" t="s">
        <v>188</v>
      </c>
      <c r="D12" s="283"/>
      <c r="E12" s="283"/>
      <c r="F12" s="276"/>
      <c r="G12" s="215"/>
      <c r="H12" s="215"/>
      <c r="I12" s="215"/>
      <c r="J12" s="215"/>
      <c r="K12" s="215"/>
      <c r="L12" s="215"/>
      <c r="M12" s="215"/>
      <c r="N12" s="282"/>
      <c r="O12" s="282"/>
      <c r="P12" s="215"/>
      <c r="Q12" s="215"/>
      <c r="R12" s="215"/>
      <c r="S12" s="215"/>
      <c r="T12" s="200"/>
      <c r="U12" s="200"/>
      <c r="V12" s="200"/>
      <c r="W12" s="203"/>
      <c r="X12" s="200"/>
      <c r="Y12" s="200"/>
      <c r="Z12" s="200"/>
    </row>
    <row r="13" spans="1:26" s="189" customFormat="1" ht="15" customHeight="1">
      <c r="A13" s="215"/>
      <c r="B13" s="215"/>
      <c r="C13" s="291"/>
      <c r="D13" s="283"/>
      <c r="E13" s="283"/>
      <c r="F13" s="276"/>
      <c r="G13" s="215"/>
      <c r="H13" s="215"/>
      <c r="I13" s="215"/>
      <c r="J13" s="215"/>
      <c r="K13" s="215"/>
      <c r="L13" s="215"/>
      <c r="M13" s="215"/>
      <c r="N13" s="282"/>
      <c r="O13" s="282"/>
      <c r="P13" s="215"/>
      <c r="Q13" s="215"/>
      <c r="R13" s="215"/>
      <c r="S13" s="215"/>
      <c r="T13" s="197"/>
      <c r="U13" s="197"/>
      <c r="V13" s="197"/>
      <c r="W13" s="198"/>
      <c r="X13" s="197"/>
      <c r="Y13" s="197"/>
      <c r="Z13" s="197"/>
    </row>
    <row r="14" spans="1:26" s="202" customFormat="1" ht="15">
      <c r="A14" s="215"/>
      <c r="B14" s="215"/>
      <c r="C14" s="291"/>
      <c r="D14" s="283"/>
      <c r="E14" s="283"/>
      <c r="F14" s="276"/>
      <c r="G14" s="215"/>
      <c r="H14" s="215"/>
      <c r="I14" s="215"/>
      <c r="J14" s="215"/>
      <c r="K14" s="215"/>
      <c r="L14" s="215"/>
      <c r="M14" s="215"/>
      <c r="N14" s="282"/>
      <c r="O14" s="282"/>
      <c r="P14" s="215"/>
      <c r="Q14" s="215"/>
      <c r="R14" s="215"/>
      <c r="S14" s="215"/>
      <c r="T14" s="200"/>
      <c r="U14" s="200"/>
      <c r="V14" s="200"/>
      <c r="W14" s="203"/>
      <c r="X14" s="200"/>
      <c r="Y14" s="200"/>
      <c r="Z14" s="200"/>
    </row>
    <row r="15" spans="1:26" s="189" customFormat="1" ht="15">
      <c r="A15" s="215"/>
      <c r="B15" s="215"/>
      <c r="C15" s="291"/>
      <c r="D15" s="283"/>
      <c r="E15" s="283"/>
      <c r="F15" s="276"/>
      <c r="G15" s="215"/>
      <c r="H15" s="215"/>
      <c r="I15" s="215"/>
      <c r="J15" s="218"/>
      <c r="K15" s="215"/>
      <c r="L15" s="215"/>
      <c r="M15" s="215"/>
      <c r="N15" s="282"/>
      <c r="O15" s="282"/>
      <c r="P15" s="215"/>
      <c r="Q15" s="215"/>
      <c r="R15" s="215"/>
      <c r="S15" s="215"/>
      <c r="T15" s="197"/>
      <c r="U15" s="197"/>
      <c r="V15" s="197"/>
      <c r="W15" s="198"/>
      <c r="X15" s="197"/>
      <c r="Y15" s="197"/>
      <c r="Z15" s="197"/>
    </row>
    <row r="16" spans="1:26" s="202" customFormat="1" ht="15">
      <c r="A16" s="215"/>
      <c r="B16" s="215"/>
      <c r="C16" s="291"/>
      <c r="D16" s="283"/>
      <c r="E16" s="283"/>
      <c r="F16" s="276"/>
      <c r="G16" s="215"/>
      <c r="H16" s="215"/>
      <c r="I16" s="215"/>
      <c r="J16" s="215"/>
      <c r="K16" s="215"/>
      <c r="L16" s="215"/>
      <c r="M16" s="215"/>
      <c r="N16" s="282"/>
      <c r="O16" s="282"/>
      <c r="P16" s="215"/>
      <c r="Q16" s="215"/>
      <c r="R16" s="215"/>
      <c r="S16" s="215"/>
      <c r="T16" s="200"/>
      <c r="U16" s="200"/>
      <c r="V16" s="200"/>
      <c r="W16" s="203"/>
      <c r="X16" s="200"/>
      <c r="Y16" s="200"/>
      <c r="Z16" s="200"/>
    </row>
    <row r="17" spans="1:26" s="189" customFormat="1" ht="15">
      <c r="A17" s="215"/>
      <c r="B17" s="215"/>
      <c r="C17" s="291"/>
      <c r="D17" s="283"/>
      <c r="E17" s="283"/>
      <c r="F17" s="276"/>
      <c r="G17" s="215"/>
      <c r="H17" s="215"/>
      <c r="I17" s="215"/>
      <c r="J17" s="215"/>
      <c r="K17" s="215"/>
      <c r="L17" s="215"/>
      <c r="M17" s="215"/>
      <c r="N17" s="282"/>
      <c r="O17" s="282"/>
      <c r="P17" s="215"/>
      <c r="Q17" s="215"/>
      <c r="R17" s="215"/>
      <c r="S17" s="215"/>
      <c r="T17" s="197"/>
      <c r="U17" s="197"/>
      <c r="V17" s="197"/>
      <c r="W17" s="198"/>
      <c r="X17" s="197"/>
      <c r="Y17" s="197"/>
      <c r="Z17" s="197"/>
    </row>
    <row r="18" spans="1:26" s="202" customFormat="1" ht="15">
      <c r="A18" s="215"/>
      <c r="B18" s="215"/>
      <c r="C18" s="291"/>
      <c r="D18" s="283"/>
      <c r="E18" s="283"/>
      <c r="F18" s="276"/>
      <c r="G18" s="215"/>
      <c r="H18" s="215"/>
      <c r="I18" s="215"/>
      <c r="J18" s="215"/>
      <c r="K18" s="215"/>
      <c r="L18" s="215"/>
      <c r="M18" s="215"/>
      <c r="N18" s="282"/>
      <c r="O18" s="282"/>
      <c r="P18" s="215"/>
      <c r="Q18" s="215"/>
      <c r="R18" s="215"/>
      <c r="S18" s="215"/>
      <c r="T18" s="200"/>
      <c r="U18" s="200"/>
      <c r="V18" s="200"/>
      <c r="W18" s="203"/>
      <c r="X18" s="200"/>
      <c r="Y18" s="200"/>
      <c r="Z18" s="200"/>
    </row>
    <row r="19" spans="1:26" s="189" customFormat="1" ht="15">
      <c r="A19" s="215"/>
      <c r="B19" s="215"/>
      <c r="C19" s="291"/>
      <c r="D19" s="283"/>
      <c r="E19" s="283"/>
      <c r="F19" s="276"/>
      <c r="G19" s="215"/>
      <c r="H19" s="215"/>
      <c r="I19" s="215"/>
      <c r="J19" s="215"/>
      <c r="K19" s="215"/>
      <c r="L19" s="215"/>
      <c r="M19" s="215"/>
      <c r="N19" s="282"/>
      <c r="O19" s="282"/>
      <c r="P19" s="215"/>
      <c r="Q19" s="215"/>
      <c r="R19" s="215"/>
      <c r="S19" s="215"/>
      <c r="T19" s="197"/>
      <c r="U19" s="197"/>
      <c r="V19" s="197"/>
      <c r="W19" s="198"/>
      <c r="X19" s="197"/>
      <c r="Y19" s="197"/>
      <c r="Z19" s="197"/>
    </row>
    <row r="20" spans="1:26" s="202" customFormat="1" ht="15">
      <c r="A20" s="215"/>
      <c r="B20" s="215"/>
      <c r="C20" s="291"/>
      <c r="D20" s="283"/>
      <c r="E20" s="283"/>
      <c r="F20" s="276"/>
      <c r="G20" s="215"/>
      <c r="H20" s="215"/>
      <c r="I20" s="215"/>
      <c r="J20" s="215"/>
      <c r="K20" s="215"/>
      <c r="L20" s="215"/>
      <c r="M20" s="215"/>
      <c r="N20" s="282"/>
      <c r="O20" s="282"/>
      <c r="P20" s="215"/>
      <c r="Q20" s="215"/>
      <c r="R20" s="215"/>
      <c r="S20" s="215"/>
      <c r="T20" s="200"/>
      <c r="U20" s="200"/>
      <c r="V20" s="200"/>
      <c r="W20" s="203"/>
      <c r="X20" s="200"/>
      <c r="Y20" s="200"/>
      <c r="Z20" s="200"/>
    </row>
    <row r="21" spans="1:26" s="189" customFormat="1" ht="15">
      <c r="A21" s="215"/>
      <c r="B21" s="215"/>
      <c r="C21" s="291"/>
      <c r="D21" s="283"/>
      <c r="E21" s="283"/>
      <c r="F21" s="276"/>
      <c r="G21" s="215"/>
      <c r="H21" s="215"/>
      <c r="I21" s="215"/>
      <c r="J21" s="215"/>
      <c r="K21" s="215"/>
      <c r="L21" s="215"/>
      <c r="M21" s="215"/>
      <c r="N21" s="282"/>
      <c r="O21" s="282"/>
      <c r="P21" s="215"/>
      <c r="Q21" s="215"/>
      <c r="R21" s="215"/>
      <c r="S21" s="215"/>
      <c r="T21" s="197"/>
      <c r="U21" s="197"/>
      <c r="V21" s="197"/>
      <c r="W21" s="198"/>
      <c r="X21" s="197"/>
      <c r="Y21" s="197"/>
      <c r="Z21" s="197"/>
    </row>
    <row r="22" spans="1:26" s="202" customFormat="1" ht="15">
      <c r="A22" s="215"/>
      <c r="B22" s="215"/>
      <c r="C22" s="291"/>
      <c r="D22" s="283"/>
      <c r="E22" s="283"/>
      <c r="F22" s="276"/>
      <c r="G22" s="215"/>
      <c r="H22" s="215"/>
      <c r="I22" s="215"/>
      <c r="J22" s="215"/>
      <c r="K22" s="215"/>
      <c r="L22" s="215"/>
      <c r="M22" s="215"/>
      <c r="N22" s="282"/>
      <c r="O22" s="282"/>
      <c r="P22" s="215"/>
      <c r="Q22" s="215"/>
      <c r="R22" s="215"/>
      <c r="S22" s="215"/>
      <c r="T22" s="200"/>
      <c r="U22" s="200"/>
      <c r="V22" s="200"/>
      <c r="W22" s="203"/>
      <c r="X22" s="200"/>
      <c r="Y22" s="200"/>
      <c r="Z22" s="200"/>
    </row>
    <row r="23" spans="1:26" s="189" customFormat="1" ht="15">
      <c r="A23" s="215"/>
      <c r="B23" s="215"/>
      <c r="C23" s="291"/>
      <c r="D23" s="283"/>
      <c r="E23" s="283"/>
      <c r="F23" s="276"/>
      <c r="G23" s="215"/>
      <c r="H23" s="215"/>
      <c r="I23" s="215"/>
      <c r="J23" s="215"/>
      <c r="K23" s="215"/>
      <c r="L23" s="215"/>
      <c r="M23" s="215"/>
      <c r="N23" s="282"/>
      <c r="O23" s="282"/>
      <c r="P23" s="215"/>
      <c r="Q23" s="215"/>
      <c r="R23" s="215"/>
      <c r="S23" s="215"/>
      <c r="T23" s="197"/>
      <c r="U23" s="197"/>
      <c r="V23" s="197"/>
      <c r="W23" s="198"/>
      <c r="X23" s="197"/>
      <c r="Y23" s="197"/>
      <c r="Z23" s="197"/>
    </row>
    <row r="24" spans="1:26" s="202" customFormat="1" ht="15">
      <c r="A24" s="215"/>
      <c r="B24" s="215"/>
      <c r="C24" s="291"/>
      <c r="D24" s="283"/>
      <c r="E24" s="283"/>
      <c r="F24" s="276"/>
      <c r="G24" s="215"/>
      <c r="H24" s="215"/>
      <c r="I24" s="215"/>
      <c r="J24" s="215"/>
      <c r="K24" s="215"/>
      <c r="L24" s="215"/>
      <c r="M24" s="215"/>
      <c r="N24" s="282"/>
      <c r="O24" s="282"/>
      <c r="P24" s="215"/>
      <c r="Q24" s="215"/>
      <c r="R24" s="215"/>
      <c r="S24" s="215"/>
      <c r="T24" s="200"/>
      <c r="U24" s="200"/>
      <c r="V24" s="200"/>
      <c r="W24" s="203"/>
      <c r="X24" s="200"/>
      <c r="Y24" s="200"/>
      <c r="Z24" s="200"/>
    </row>
    <row r="25" spans="1:26" s="189" customFormat="1" ht="15">
      <c r="A25" s="215"/>
      <c r="B25" s="215"/>
      <c r="C25" s="291"/>
      <c r="D25" s="283"/>
      <c r="E25" s="283"/>
      <c r="F25" s="276"/>
      <c r="G25" s="215"/>
      <c r="H25" s="215"/>
      <c r="I25" s="215"/>
      <c r="J25" s="218"/>
      <c r="K25" s="215"/>
      <c r="L25" s="215"/>
      <c r="M25" s="215"/>
      <c r="N25" s="282"/>
      <c r="O25" s="282"/>
      <c r="P25" s="215"/>
      <c r="Q25" s="215"/>
      <c r="R25" s="215"/>
      <c r="S25" s="215"/>
      <c r="T25" s="197"/>
      <c r="U25" s="197"/>
      <c r="V25" s="197"/>
      <c r="W25" s="198"/>
      <c r="X25" s="197"/>
      <c r="Y25" s="197"/>
      <c r="Z25" s="197"/>
    </row>
    <row r="26" spans="1:26" s="202" customFormat="1" ht="15">
      <c r="A26" s="215"/>
      <c r="B26" s="215"/>
      <c r="C26" s="291"/>
      <c r="D26" s="283"/>
      <c r="E26" s="283"/>
      <c r="F26" s="276"/>
      <c r="G26" s="215"/>
      <c r="H26" s="215"/>
      <c r="I26" s="215"/>
      <c r="J26" s="215"/>
      <c r="K26" s="215"/>
      <c r="L26" s="215"/>
      <c r="M26" s="215"/>
      <c r="N26" s="282"/>
      <c r="O26" s="282"/>
      <c r="P26" s="215"/>
      <c r="Q26" s="215"/>
      <c r="R26" s="215"/>
      <c r="S26" s="215"/>
      <c r="T26" s="200"/>
      <c r="U26" s="200"/>
      <c r="V26" s="200"/>
      <c r="W26" s="203"/>
      <c r="X26" s="200"/>
      <c r="Y26" s="200"/>
      <c r="Z26" s="200"/>
    </row>
    <row r="27" spans="1:26" s="189" customFormat="1" ht="15">
      <c r="A27" s="215"/>
      <c r="B27" s="215"/>
      <c r="C27" s="291"/>
      <c r="D27" s="283"/>
      <c r="E27" s="283"/>
      <c r="F27" s="276"/>
      <c r="G27" s="215"/>
      <c r="H27" s="215"/>
      <c r="I27" s="215"/>
      <c r="J27" s="215"/>
      <c r="K27" s="215"/>
      <c r="L27" s="218"/>
      <c r="M27" s="218"/>
      <c r="N27" s="282"/>
      <c r="O27" s="282"/>
      <c r="P27" s="215"/>
      <c r="Q27" s="215"/>
      <c r="R27" s="215"/>
      <c r="S27" s="215"/>
      <c r="T27" s="197"/>
      <c r="U27" s="197"/>
      <c r="V27" s="197"/>
      <c r="W27" s="198"/>
      <c r="X27" s="197"/>
      <c r="Y27" s="197"/>
      <c r="Z27" s="197"/>
    </row>
    <row r="28" spans="1:26" s="202" customFormat="1" ht="15" customHeight="1">
      <c r="A28" s="274"/>
      <c r="B28" s="274"/>
      <c r="C28" s="290"/>
      <c r="D28" s="283"/>
      <c r="E28" s="283"/>
      <c r="F28" s="276"/>
      <c r="G28" s="215"/>
      <c r="H28" s="215"/>
      <c r="I28" s="215"/>
      <c r="J28" s="215"/>
      <c r="K28" s="215"/>
      <c r="L28" s="215"/>
      <c r="M28" s="215"/>
      <c r="N28" s="282"/>
      <c r="O28" s="282"/>
      <c r="P28" s="215"/>
      <c r="Q28" s="215"/>
      <c r="R28" s="215"/>
      <c r="S28" s="215"/>
      <c r="T28" s="200"/>
      <c r="U28" s="200"/>
      <c r="V28" s="200"/>
      <c r="W28" s="203"/>
      <c r="X28" s="200"/>
      <c r="Y28" s="200"/>
      <c r="Z28" s="200"/>
    </row>
    <row r="29" spans="1:26" s="189" customFormat="1" ht="15">
      <c r="A29" s="215"/>
      <c r="B29" s="215"/>
      <c r="C29" s="291"/>
      <c r="D29" s="283"/>
      <c r="E29" s="283"/>
      <c r="F29" s="276"/>
      <c r="G29" s="215"/>
      <c r="H29" s="215"/>
      <c r="I29" s="215"/>
      <c r="J29" s="215"/>
      <c r="K29" s="215"/>
      <c r="L29" s="215"/>
      <c r="M29" s="215"/>
      <c r="N29" s="282"/>
      <c r="O29" s="282"/>
      <c r="P29" s="215"/>
      <c r="Q29" s="215"/>
      <c r="R29" s="215"/>
      <c r="S29" s="215"/>
      <c r="T29" s="197"/>
      <c r="U29" s="197"/>
      <c r="V29" s="197"/>
      <c r="W29" s="198"/>
      <c r="X29" s="197"/>
      <c r="Y29" s="197"/>
      <c r="Z29" s="197"/>
    </row>
    <row r="30" spans="1:26" s="202" customFormat="1" ht="15">
      <c r="A30" s="215"/>
      <c r="B30" s="215"/>
      <c r="C30" s="291"/>
      <c r="D30" s="283"/>
      <c r="E30" s="283"/>
      <c r="F30" s="276"/>
      <c r="G30" s="215"/>
      <c r="H30" s="215"/>
      <c r="I30" s="215"/>
      <c r="J30" s="215"/>
      <c r="K30" s="215"/>
      <c r="L30" s="215"/>
      <c r="M30" s="215"/>
      <c r="N30" s="282"/>
      <c r="O30" s="282"/>
      <c r="P30" s="215"/>
      <c r="Q30" s="215"/>
      <c r="R30" s="215"/>
      <c r="S30" s="215"/>
      <c r="T30" s="200"/>
      <c r="U30" s="200"/>
      <c r="V30" s="200"/>
      <c r="W30" s="203"/>
      <c r="X30" s="200"/>
      <c r="Y30" s="200"/>
      <c r="Z30" s="200"/>
    </row>
    <row r="31" spans="1:26" s="189" customFormat="1" ht="15">
      <c r="A31" s="215"/>
      <c r="B31" s="215"/>
      <c r="C31" s="291"/>
      <c r="D31" s="283"/>
      <c r="E31" s="283"/>
      <c r="F31" s="276"/>
      <c r="G31" s="215"/>
      <c r="H31" s="215"/>
      <c r="I31" s="215"/>
      <c r="J31" s="215"/>
      <c r="K31" s="215"/>
      <c r="L31" s="215"/>
      <c r="M31" s="215"/>
      <c r="N31" s="282"/>
      <c r="O31" s="282"/>
      <c r="P31" s="215"/>
      <c r="Q31" s="215"/>
      <c r="R31" s="215"/>
      <c r="S31" s="215"/>
      <c r="T31" s="197"/>
      <c r="U31" s="197"/>
      <c r="V31" s="197"/>
      <c r="W31" s="198"/>
      <c r="X31" s="197"/>
      <c r="Y31" s="197"/>
      <c r="Z31" s="197"/>
    </row>
    <row r="32" spans="1:26" s="202" customFormat="1" ht="38.25" customHeight="1">
      <c r="A32" s="215"/>
      <c r="B32" s="215"/>
      <c r="C32" s="291"/>
      <c r="D32" s="283"/>
      <c r="E32" s="283"/>
      <c r="F32" s="276"/>
      <c r="G32" s="215"/>
      <c r="H32" s="215"/>
      <c r="I32" s="215"/>
      <c r="J32" s="218"/>
      <c r="K32" s="215"/>
      <c r="L32" s="215"/>
      <c r="M32" s="215"/>
      <c r="N32" s="282"/>
      <c r="O32" s="282"/>
      <c r="P32" s="215"/>
      <c r="Q32" s="215"/>
      <c r="R32" s="215"/>
      <c r="S32" s="215"/>
      <c r="T32" s="200"/>
      <c r="U32" s="200"/>
      <c r="V32" s="200"/>
      <c r="W32" s="203"/>
      <c r="X32" s="200"/>
      <c r="Y32" s="200"/>
      <c r="Z32" s="200"/>
    </row>
    <row r="33" spans="1:26" s="189" customFormat="1" ht="15" customHeight="1">
      <c r="A33" s="215"/>
      <c r="B33" s="215"/>
      <c r="C33" s="277"/>
      <c r="D33" s="283"/>
      <c r="E33" s="283"/>
      <c r="F33" s="276"/>
      <c r="G33" s="215"/>
      <c r="H33" s="215"/>
      <c r="I33" s="215"/>
      <c r="J33" s="215"/>
      <c r="K33" s="215"/>
      <c r="L33" s="215"/>
      <c r="M33" s="215"/>
      <c r="N33" s="282"/>
      <c r="O33" s="282"/>
      <c r="P33" s="215"/>
      <c r="Q33" s="215"/>
      <c r="R33" s="215"/>
      <c r="S33" s="215"/>
      <c r="T33" s="197"/>
      <c r="U33" s="197"/>
      <c r="V33" s="197"/>
      <c r="W33" s="198"/>
      <c r="X33" s="197"/>
      <c r="Y33" s="197"/>
      <c r="Z33" s="197"/>
    </row>
    <row r="34" spans="1:26" s="202" customFormat="1" ht="15.75">
      <c r="A34" s="215"/>
      <c r="B34" s="215"/>
      <c r="C34" s="277"/>
      <c r="D34" s="283"/>
      <c r="E34" s="283"/>
      <c r="F34" s="276"/>
      <c r="G34" s="215"/>
      <c r="H34" s="215"/>
      <c r="I34" s="215"/>
      <c r="J34" s="218"/>
      <c r="K34" s="278"/>
      <c r="L34" s="215"/>
      <c r="M34" s="215"/>
      <c r="N34" s="282"/>
      <c r="O34" s="282"/>
      <c r="P34" s="215"/>
      <c r="Q34" s="215"/>
      <c r="R34" s="215"/>
      <c r="S34" s="215"/>
      <c r="T34" s="200"/>
      <c r="U34" s="200"/>
      <c r="V34" s="200"/>
      <c r="W34" s="203"/>
      <c r="X34" s="200"/>
      <c r="Y34" s="200"/>
      <c r="Z34" s="200"/>
    </row>
    <row r="35" spans="1:26" s="189" customFormat="1" ht="15">
      <c r="A35" s="215"/>
      <c r="B35" s="215"/>
      <c r="C35" s="277"/>
      <c r="D35" s="283"/>
      <c r="E35" s="283"/>
      <c r="F35" s="276"/>
      <c r="G35" s="215"/>
      <c r="H35" s="215"/>
      <c r="I35" s="215"/>
      <c r="J35" s="215"/>
      <c r="K35" s="215"/>
      <c r="L35" s="215"/>
      <c r="M35" s="215"/>
      <c r="N35" s="282"/>
      <c r="O35" s="282"/>
      <c r="P35" s="215"/>
      <c r="Q35" s="215"/>
      <c r="R35" s="215"/>
      <c r="S35" s="215"/>
      <c r="T35" s="197"/>
      <c r="U35" s="197"/>
      <c r="V35" s="197"/>
      <c r="W35" s="198"/>
      <c r="X35" s="197"/>
      <c r="Y35" s="197"/>
      <c r="Z35" s="197"/>
    </row>
    <row r="36" spans="1:26" s="202" customFormat="1" ht="15">
      <c r="A36" s="215"/>
      <c r="B36" s="215"/>
      <c r="C36" s="277"/>
      <c r="D36" s="283"/>
      <c r="E36" s="283"/>
      <c r="F36" s="276"/>
      <c r="G36" s="215"/>
      <c r="H36" s="215"/>
      <c r="I36" s="215"/>
      <c r="J36" s="215"/>
      <c r="K36" s="215"/>
      <c r="L36" s="215"/>
      <c r="M36" s="215"/>
      <c r="N36" s="282"/>
      <c r="O36" s="282"/>
      <c r="P36" s="215"/>
      <c r="Q36" s="215"/>
      <c r="R36" s="215"/>
      <c r="S36" s="215"/>
      <c r="T36" s="200"/>
      <c r="U36" s="200"/>
      <c r="V36" s="200"/>
      <c r="W36" s="203"/>
      <c r="X36" s="200"/>
      <c r="Y36" s="200"/>
      <c r="Z36" s="200"/>
    </row>
    <row r="37" spans="1:26" s="189" customFormat="1" ht="15">
      <c r="A37" s="215"/>
      <c r="B37" s="215"/>
      <c r="C37" s="277"/>
      <c r="D37" s="283"/>
      <c r="E37" s="283"/>
      <c r="F37" s="276"/>
      <c r="G37" s="215"/>
      <c r="H37" s="215"/>
      <c r="I37" s="215"/>
      <c r="J37" s="215"/>
      <c r="K37" s="215"/>
      <c r="L37" s="215"/>
      <c r="M37" s="215"/>
      <c r="N37" s="282"/>
      <c r="O37" s="282"/>
      <c r="P37" s="215"/>
      <c r="Q37" s="215"/>
      <c r="R37" s="215"/>
      <c r="S37" s="215"/>
      <c r="T37" s="197"/>
      <c r="U37" s="197"/>
      <c r="V37" s="197"/>
      <c r="W37" s="198"/>
      <c r="X37" s="197"/>
      <c r="Y37" s="197"/>
      <c r="Z37" s="197"/>
    </row>
    <row r="38" spans="1:26" s="202" customFormat="1" ht="36.75" customHeight="1">
      <c r="A38" s="274"/>
      <c r="B38" s="274"/>
      <c r="C38" s="275"/>
      <c r="D38" s="283"/>
      <c r="E38" s="283"/>
      <c r="F38" s="276"/>
      <c r="G38" s="215"/>
      <c r="H38" s="215"/>
      <c r="I38" s="215"/>
      <c r="J38" s="218"/>
      <c r="K38" s="215"/>
      <c r="L38" s="215"/>
      <c r="M38" s="215"/>
      <c r="N38" s="282"/>
      <c r="O38" s="282"/>
      <c r="P38" s="215"/>
      <c r="Q38" s="215"/>
      <c r="R38" s="215"/>
      <c r="S38" s="215"/>
      <c r="T38" s="200"/>
      <c r="U38" s="200"/>
      <c r="V38" s="200"/>
      <c r="W38" s="203"/>
      <c r="X38" s="200"/>
      <c r="Y38" s="200"/>
      <c r="Z38" s="200"/>
    </row>
    <row r="39" spans="1:26" s="202" customFormat="1" ht="15">
      <c r="A39" s="215"/>
      <c r="B39" s="215"/>
      <c r="C39" s="277"/>
      <c r="D39" s="283"/>
      <c r="E39" s="283"/>
      <c r="F39" s="276"/>
      <c r="G39" s="215"/>
      <c r="H39" s="215"/>
      <c r="I39" s="215"/>
      <c r="J39" s="215"/>
      <c r="K39" s="215"/>
      <c r="L39" s="215"/>
      <c r="M39" s="215"/>
      <c r="N39" s="282"/>
      <c r="O39" s="282"/>
      <c r="P39" s="215"/>
      <c r="Q39" s="215"/>
      <c r="R39" s="215"/>
      <c r="S39" s="215"/>
      <c r="T39" s="200"/>
      <c r="U39" s="200"/>
      <c r="V39" s="200"/>
      <c r="W39" s="203"/>
      <c r="X39" s="200"/>
      <c r="Y39" s="200"/>
      <c r="Z39" s="200"/>
    </row>
    <row r="40" spans="1:26" s="189" customFormat="1" ht="15.75">
      <c r="A40" s="215"/>
      <c r="B40" s="215"/>
      <c r="C40" s="277"/>
      <c r="D40" s="283"/>
      <c r="E40" s="283"/>
      <c r="F40" s="276"/>
      <c r="G40" s="215"/>
      <c r="H40" s="215"/>
      <c r="I40" s="278"/>
      <c r="J40" s="215"/>
      <c r="K40" s="215"/>
      <c r="L40" s="215"/>
      <c r="M40" s="215"/>
      <c r="N40" s="282"/>
      <c r="O40" s="282"/>
      <c r="P40" s="215"/>
      <c r="Q40" s="215"/>
      <c r="R40" s="215"/>
      <c r="S40" s="215"/>
      <c r="T40" s="197"/>
      <c r="U40" s="197"/>
      <c r="V40" s="197"/>
      <c r="W40" s="198"/>
      <c r="X40" s="197"/>
      <c r="Y40" s="197"/>
      <c r="Z40" s="197"/>
    </row>
    <row r="41" spans="1:26" s="202" customFormat="1" ht="26.25" customHeight="1">
      <c r="A41" s="215"/>
      <c r="B41" s="215"/>
      <c r="C41" s="277"/>
      <c r="D41" s="283"/>
      <c r="E41" s="283"/>
      <c r="F41" s="276"/>
      <c r="G41" s="215"/>
      <c r="H41" s="215"/>
      <c r="I41" s="215"/>
      <c r="J41" s="215"/>
      <c r="K41" s="215"/>
      <c r="L41" s="218"/>
      <c r="M41" s="218"/>
      <c r="N41" s="282"/>
      <c r="O41" s="282"/>
      <c r="P41" s="215"/>
      <c r="Q41" s="215"/>
      <c r="R41" s="215"/>
      <c r="S41" s="215"/>
      <c r="T41" s="200"/>
      <c r="U41" s="200"/>
      <c r="V41" s="200"/>
      <c r="W41" s="203"/>
      <c r="X41" s="200"/>
      <c r="Y41" s="200"/>
      <c r="Z41" s="200"/>
    </row>
    <row r="42" spans="1:26" s="202" customFormat="1" ht="15">
      <c r="A42" s="215"/>
      <c r="B42" s="215"/>
      <c r="C42" s="277"/>
      <c r="D42" s="283"/>
      <c r="E42" s="283"/>
      <c r="F42" s="276"/>
      <c r="G42" s="215"/>
      <c r="H42" s="215"/>
      <c r="I42" s="215"/>
      <c r="J42" s="215"/>
      <c r="K42" s="215"/>
      <c r="L42" s="215"/>
      <c r="M42" s="215"/>
      <c r="N42" s="282"/>
      <c r="O42" s="282"/>
      <c r="P42" s="215"/>
      <c r="Q42" s="215"/>
      <c r="R42" s="215"/>
      <c r="S42" s="215"/>
      <c r="T42" s="200"/>
      <c r="U42" s="200"/>
      <c r="V42" s="200"/>
      <c r="W42" s="203"/>
      <c r="X42" s="200"/>
      <c r="Y42" s="200"/>
      <c r="Z42" s="200"/>
    </row>
    <row r="43" spans="1:26" s="190" customFormat="1" ht="24" customHeight="1">
      <c r="A43" s="215"/>
      <c r="B43" s="215"/>
      <c r="C43" s="277"/>
      <c r="D43" s="283"/>
      <c r="E43" s="283"/>
      <c r="F43" s="276"/>
      <c r="G43" s="215"/>
      <c r="H43" s="215"/>
      <c r="I43" s="215"/>
      <c r="J43" s="215"/>
      <c r="K43" s="278"/>
      <c r="L43" s="278"/>
      <c r="M43" s="278"/>
      <c r="N43" s="284"/>
      <c r="O43" s="282"/>
      <c r="P43" s="215"/>
      <c r="Q43" s="215"/>
      <c r="R43" s="215"/>
      <c r="S43" s="215"/>
      <c r="T43" s="188"/>
      <c r="U43" s="188"/>
      <c r="V43" s="188"/>
      <c r="W43" s="191"/>
      <c r="X43" s="188"/>
      <c r="Y43" s="188"/>
      <c r="Z43" s="188"/>
    </row>
    <row r="44" spans="1:26" s="190" customFormat="1" ht="26.25" customHeight="1">
      <c r="A44" s="215"/>
      <c r="B44" s="215"/>
      <c r="C44" s="277"/>
      <c r="D44" s="283"/>
      <c r="E44" s="283"/>
      <c r="F44" s="276"/>
      <c r="G44" s="215"/>
      <c r="H44" s="215"/>
      <c r="I44" s="215"/>
      <c r="J44" s="215"/>
      <c r="K44" s="215"/>
      <c r="L44" s="215"/>
      <c r="M44" s="215"/>
      <c r="N44" s="282"/>
      <c r="O44" s="282"/>
      <c r="P44" s="215"/>
      <c r="Q44" s="215"/>
      <c r="R44" s="215"/>
      <c r="S44" s="215"/>
      <c r="T44" s="188"/>
      <c r="U44" s="188"/>
      <c r="V44" s="188"/>
      <c r="W44" s="191"/>
      <c r="X44" s="188"/>
      <c r="Y44" s="188"/>
      <c r="Z44" s="188"/>
    </row>
    <row r="45" spans="1:26" s="190" customFormat="1" ht="24.75" customHeight="1">
      <c r="A45" s="215"/>
      <c r="B45" s="215"/>
      <c r="C45" s="277"/>
      <c r="D45" s="283"/>
      <c r="E45" s="283"/>
      <c r="F45" s="276"/>
      <c r="G45" s="215"/>
      <c r="H45" s="215"/>
      <c r="I45" s="215"/>
      <c r="J45" s="215"/>
      <c r="K45" s="215"/>
      <c r="L45" s="215"/>
      <c r="M45" s="215"/>
      <c r="N45" s="285"/>
      <c r="O45" s="282"/>
      <c r="P45" s="215"/>
      <c r="Q45" s="215"/>
      <c r="R45" s="215"/>
      <c r="S45" s="215"/>
      <c r="T45" s="188"/>
      <c r="U45" s="188"/>
      <c r="V45" s="188"/>
      <c r="W45" s="191"/>
      <c r="X45" s="188"/>
      <c r="Y45" s="188"/>
      <c r="Z45" s="188"/>
    </row>
    <row r="46" spans="1:26" s="190" customFormat="1" ht="26.25" customHeight="1">
      <c r="A46" s="215"/>
      <c r="B46" s="215"/>
      <c r="C46" s="277"/>
      <c r="D46" s="283"/>
      <c r="E46" s="283"/>
      <c r="F46" s="276"/>
      <c r="G46" s="215"/>
      <c r="H46" s="215"/>
      <c r="I46" s="215"/>
      <c r="J46" s="215"/>
      <c r="K46" s="215"/>
      <c r="L46" s="215"/>
      <c r="M46" s="215"/>
      <c r="N46" s="285"/>
      <c r="O46" s="282"/>
      <c r="P46" s="215"/>
      <c r="Q46" s="215"/>
      <c r="R46" s="215"/>
      <c r="S46" s="215"/>
      <c r="T46" s="188"/>
      <c r="U46" s="188"/>
      <c r="V46" s="188"/>
      <c r="W46" s="191"/>
      <c r="X46" s="188"/>
      <c r="Y46" s="188"/>
      <c r="Z46" s="188"/>
    </row>
    <row r="47" spans="1:26" s="190" customFormat="1" ht="15">
      <c r="A47" s="212"/>
      <c r="B47" s="212"/>
      <c r="C47" s="186"/>
      <c r="D47" s="222"/>
      <c r="E47" s="222"/>
      <c r="F47" s="188"/>
      <c r="G47" s="212"/>
      <c r="H47" s="212"/>
      <c r="I47" s="212"/>
      <c r="J47" s="212"/>
      <c r="K47" s="219"/>
      <c r="L47" s="219"/>
      <c r="M47" s="219"/>
      <c r="N47" s="227"/>
      <c r="O47" s="187"/>
      <c r="P47" s="212"/>
      <c r="Q47" s="212"/>
      <c r="R47" s="212"/>
      <c r="S47" s="212"/>
      <c r="T47" s="188"/>
      <c r="U47" s="188"/>
      <c r="V47" s="188"/>
      <c r="W47" s="191"/>
      <c r="X47" s="188"/>
      <c r="Y47" s="188"/>
      <c r="Z47" s="188"/>
    </row>
    <row r="48" spans="1:26" s="190" customFormat="1" ht="15">
      <c r="A48" s="212"/>
      <c r="B48" s="212"/>
      <c r="C48" s="186"/>
      <c r="D48" s="222"/>
      <c r="E48" s="222"/>
      <c r="F48" s="188"/>
      <c r="G48" s="212"/>
      <c r="H48" s="212"/>
      <c r="I48" s="212"/>
      <c r="J48" s="212"/>
      <c r="K48" s="219"/>
      <c r="L48" s="219"/>
      <c r="M48" s="219"/>
      <c r="N48" s="227"/>
      <c r="O48" s="187"/>
      <c r="P48" s="212"/>
      <c r="Q48" s="212"/>
      <c r="R48" s="212"/>
      <c r="S48" s="212"/>
      <c r="T48" s="188"/>
      <c r="U48" s="188"/>
      <c r="V48" s="188"/>
      <c r="W48" s="191"/>
      <c r="X48" s="188"/>
      <c r="Y48" s="188"/>
      <c r="Z48" s="188"/>
    </row>
    <row r="49" spans="1:26" s="190" customFormat="1" ht="15">
      <c r="A49" s="212"/>
      <c r="B49" s="212"/>
      <c r="C49" s="186"/>
      <c r="D49" s="222"/>
      <c r="E49" s="222"/>
      <c r="F49" s="188"/>
      <c r="G49" s="212"/>
      <c r="H49" s="212"/>
      <c r="I49" s="212"/>
      <c r="J49" s="212"/>
      <c r="K49" s="219"/>
      <c r="L49" s="219"/>
      <c r="M49" s="219"/>
      <c r="N49" s="227"/>
      <c r="O49" s="187"/>
      <c r="P49" s="212"/>
      <c r="Q49" s="212"/>
      <c r="R49" s="212"/>
      <c r="S49" s="212"/>
      <c r="T49" s="188"/>
      <c r="U49" s="188"/>
      <c r="V49" s="188"/>
      <c r="W49" s="191"/>
      <c r="X49" s="188"/>
      <c r="Y49" s="188"/>
      <c r="Z49" s="188"/>
    </row>
    <row r="50" spans="1:26" s="190" customFormat="1" ht="15">
      <c r="A50" s="212"/>
      <c r="B50" s="212"/>
      <c r="C50" s="186"/>
      <c r="D50" s="222"/>
      <c r="E50" s="222"/>
      <c r="F50" s="188"/>
      <c r="G50" s="212"/>
      <c r="H50" s="212"/>
      <c r="I50" s="212"/>
      <c r="J50" s="212"/>
      <c r="K50" s="219"/>
      <c r="L50" s="219"/>
      <c r="M50" s="219"/>
      <c r="N50" s="227"/>
      <c r="O50" s="187"/>
      <c r="P50" s="212"/>
      <c r="Q50" s="212"/>
      <c r="R50" s="212"/>
      <c r="S50" s="212"/>
      <c r="T50" s="188"/>
      <c r="U50" s="188"/>
      <c r="V50" s="188"/>
      <c r="W50" s="191"/>
      <c r="X50" s="188"/>
      <c r="Y50" s="188"/>
      <c r="Z50" s="188"/>
    </row>
    <row r="51" spans="1:26" s="190" customFormat="1" ht="15">
      <c r="A51" s="212"/>
      <c r="B51" s="212"/>
      <c r="C51" s="186"/>
      <c r="D51" s="222"/>
      <c r="E51" s="222"/>
      <c r="F51" s="188"/>
      <c r="G51" s="212"/>
      <c r="H51" s="212"/>
      <c r="I51" s="212"/>
      <c r="J51" s="212"/>
      <c r="K51" s="219"/>
      <c r="L51" s="219"/>
      <c r="M51" s="219"/>
      <c r="N51" s="227"/>
      <c r="O51" s="187"/>
      <c r="P51" s="212"/>
      <c r="Q51" s="212"/>
      <c r="R51" s="212"/>
      <c r="S51" s="212"/>
      <c r="T51" s="188"/>
      <c r="U51" s="188"/>
      <c r="V51" s="188"/>
      <c r="W51" s="191"/>
      <c r="X51" s="188"/>
      <c r="Y51" s="188"/>
      <c r="Z51" s="188"/>
    </row>
    <row r="52" spans="1:26" s="190" customFormat="1" ht="15">
      <c r="A52" s="212"/>
      <c r="B52" s="212"/>
      <c r="C52" s="186"/>
      <c r="D52" s="222"/>
      <c r="E52" s="222"/>
      <c r="F52" s="188"/>
      <c r="G52" s="212"/>
      <c r="H52" s="212"/>
      <c r="I52" s="212"/>
      <c r="J52" s="212"/>
      <c r="K52" s="212"/>
      <c r="L52" s="219"/>
      <c r="M52" s="219"/>
      <c r="N52" s="187"/>
      <c r="O52" s="187"/>
      <c r="P52" s="212"/>
      <c r="Q52" s="212"/>
      <c r="R52" s="212"/>
      <c r="S52" s="212"/>
      <c r="T52" s="188"/>
      <c r="U52" s="188"/>
      <c r="V52" s="188"/>
      <c r="W52" s="191"/>
      <c r="X52" s="188"/>
      <c r="Y52" s="188"/>
      <c r="Z52" s="188"/>
    </row>
    <row r="53" spans="1:26" s="190" customFormat="1" ht="15">
      <c r="A53" s="212"/>
      <c r="B53" s="212"/>
      <c r="C53" s="186"/>
      <c r="D53" s="222"/>
      <c r="E53" s="222"/>
      <c r="F53" s="188"/>
      <c r="G53" s="212"/>
      <c r="H53" s="212"/>
      <c r="I53" s="212"/>
      <c r="J53" s="212"/>
      <c r="K53" s="212"/>
      <c r="L53" s="219"/>
      <c r="M53" s="219"/>
      <c r="N53" s="187"/>
      <c r="O53" s="187"/>
      <c r="P53" s="212"/>
      <c r="Q53" s="212"/>
      <c r="R53" s="212"/>
      <c r="S53" s="212"/>
      <c r="T53" s="188"/>
      <c r="U53" s="188"/>
      <c r="V53" s="188"/>
      <c r="W53" s="191"/>
      <c r="X53" s="188"/>
      <c r="Y53" s="188"/>
      <c r="Z53" s="188"/>
    </row>
    <row r="54" spans="1:26" s="190" customFormat="1" ht="15">
      <c r="A54" s="212"/>
      <c r="B54" s="212"/>
      <c r="C54" s="186"/>
      <c r="D54" s="222"/>
      <c r="E54" s="222"/>
      <c r="F54" s="188"/>
      <c r="G54" s="212"/>
      <c r="H54" s="212"/>
      <c r="I54" s="212"/>
      <c r="J54" s="212"/>
      <c r="K54" s="212"/>
      <c r="L54" s="219"/>
      <c r="M54" s="219"/>
      <c r="N54" s="187"/>
      <c r="O54" s="187"/>
      <c r="P54" s="212"/>
      <c r="Q54" s="212"/>
      <c r="R54" s="212"/>
      <c r="S54" s="212"/>
      <c r="T54" s="188"/>
      <c r="U54" s="188"/>
      <c r="V54" s="188"/>
      <c r="W54" s="191"/>
      <c r="X54" s="188"/>
      <c r="Y54" s="188"/>
      <c r="Z54" s="188"/>
    </row>
    <row r="55" spans="1:26" s="190" customFormat="1" ht="15">
      <c r="A55" s="212"/>
      <c r="B55" s="212"/>
      <c r="C55" s="186"/>
      <c r="D55" s="222"/>
      <c r="E55" s="222"/>
      <c r="F55" s="188"/>
      <c r="G55" s="212"/>
      <c r="H55" s="212"/>
      <c r="I55" s="212"/>
      <c r="J55" s="212"/>
      <c r="K55" s="212"/>
      <c r="L55" s="219"/>
      <c r="M55" s="219"/>
      <c r="N55" s="187"/>
      <c r="O55" s="187"/>
      <c r="P55" s="212"/>
      <c r="Q55" s="212"/>
      <c r="R55" s="212"/>
      <c r="S55" s="212"/>
      <c r="T55" s="188"/>
      <c r="U55" s="188"/>
      <c r="V55" s="188"/>
      <c r="W55" s="191"/>
      <c r="X55" s="188"/>
      <c r="Y55" s="188"/>
      <c r="Z55" s="188"/>
    </row>
    <row r="56" spans="1:26" s="190" customFormat="1" ht="15">
      <c r="A56" s="212"/>
      <c r="B56" s="212"/>
      <c r="C56" s="186"/>
      <c r="D56" s="222"/>
      <c r="E56" s="222"/>
      <c r="F56" s="188"/>
      <c r="G56" s="212"/>
      <c r="H56" s="212"/>
      <c r="I56" s="212"/>
      <c r="J56" s="212"/>
      <c r="K56" s="212"/>
      <c r="L56" s="219"/>
      <c r="M56" s="219"/>
      <c r="N56" s="187"/>
      <c r="O56" s="187"/>
      <c r="P56" s="212"/>
      <c r="Q56" s="212"/>
      <c r="R56" s="212"/>
      <c r="S56" s="212"/>
      <c r="T56" s="188"/>
      <c r="U56" s="188"/>
      <c r="V56" s="188"/>
      <c r="W56" s="191"/>
      <c r="X56" s="188"/>
      <c r="Y56" s="188"/>
      <c r="Z56" s="188"/>
    </row>
    <row r="57" spans="1:26" s="190" customFormat="1" ht="15">
      <c r="A57" s="212"/>
      <c r="B57" s="212"/>
      <c r="C57" s="186"/>
      <c r="D57" s="222"/>
      <c r="E57" s="222"/>
      <c r="F57" s="188"/>
      <c r="G57" s="212"/>
      <c r="H57" s="212"/>
      <c r="I57" s="212"/>
      <c r="J57" s="212"/>
      <c r="K57" s="212"/>
      <c r="L57" s="219"/>
      <c r="M57" s="219"/>
      <c r="N57" s="187"/>
      <c r="O57" s="187"/>
      <c r="P57" s="212"/>
      <c r="Q57" s="212"/>
      <c r="R57" s="212"/>
      <c r="S57" s="212"/>
      <c r="T57" s="188"/>
      <c r="U57" s="188"/>
      <c r="V57" s="188"/>
      <c r="W57" s="191"/>
      <c r="X57" s="188"/>
      <c r="Y57" s="188"/>
      <c r="Z57" s="188"/>
    </row>
    <row r="58" spans="1:26" s="190" customFormat="1" ht="15">
      <c r="A58" s="212"/>
      <c r="B58" s="212"/>
      <c r="C58" s="186"/>
      <c r="D58" s="222"/>
      <c r="E58" s="222"/>
      <c r="F58" s="188"/>
      <c r="G58" s="212"/>
      <c r="H58" s="212"/>
      <c r="I58" s="212"/>
      <c r="J58" s="212"/>
      <c r="K58" s="212"/>
      <c r="L58" s="219"/>
      <c r="M58" s="219"/>
      <c r="N58" s="187"/>
      <c r="O58" s="187"/>
      <c r="P58" s="212"/>
      <c r="Q58" s="212"/>
      <c r="R58" s="212"/>
      <c r="S58" s="212"/>
      <c r="T58" s="188"/>
      <c r="U58" s="188"/>
      <c r="V58" s="188"/>
      <c r="W58" s="191"/>
      <c r="X58" s="188"/>
      <c r="Y58" s="188"/>
      <c r="Z58" s="188"/>
    </row>
    <row r="59" spans="1:26" ht="15.75">
      <c r="A59" s="213"/>
      <c r="B59" s="213"/>
      <c r="C59" s="186"/>
      <c r="D59" s="222"/>
      <c r="E59" s="222"/>
      <c r="F59" s="186"/>
      <c r="G59" s="213"/>
      <c r="H59" s="213"/>
      <c r="I59" s="213"/>
      <c r="J59" s="213"/>
      <c r="K59" s="213"/>
      <c r="L59" s="220"/>
      <c r="M59" s="220"/>
      <c r="N59" s="185"/>
      <c r="O59" s="185"/>
      <c r="P59" s="213"/>
      <c r="Q59" s="213"/>
      <c r="R59" s="213"/>
      <c r="S59" s="213"/>
      <c r="T59" s="186"/>
      <c r="U59" s="186"/>
      <c r="V59" s="186"/>
      <c r="W59" s="191"/>
      <c r="X59" s="186"/>
      <c r="Y59" s="186"/>
      <c r="Z59" s="186"/>
    </row>
    <row r="60" spans="1:26" ht="15.75">
      <c r="A60" s="213"/>
      <c r="B60" s="213"/>
      <c r="C60" s="186"/>
      <c r="D60" s="222"/>
      <c r="E60" s="222"/>
      <c r="F60" s="186"/>
      <c r="G60" s="213"/>
      <c r="H60" s="213"/>
      <c r="I60" s="213"/>
      <c r="J60" s="213"/>
      <c r="K60" s="213"/>
      <c r="L60" s="220"/>
      <c r="M60" s="220"/>
      <c r="N60" s="185"/>
      <c r="O60" s="185"/>
      <c r="P60" s="213"/>
      <c r="Q60" s="213"/>
      <c r="R60" s="213"/>
      <c r="S60" s="213"/>
      <c r="T60" s="186"/>
      <c r="U60" s="186"/>
      <c r="V60" s="186"/>
      <c r="W60" s="191"/>
      <c r="X60" s="186"/>
      <c r="Y60" s="186"/>
      <c r="Z60" s="186"/>
    </row>
    <row r="61" spans="1:26" ht="15.75">
      <c r="A61" s="213"/>
      <c r="B61" s="213"/>
      <c r="C61" s="186"/>
      <c r="D61" s="222"/>
      <c r="E61" s="222"/>
      <c r="F61" s="186"/>
      <c r="G61" s="213"/>
      <c r="H61" s="213"/>
      <c r="I61" s="213"/>
      <c r="J61" s="213"/>
      <c r="K61" s="213"/>
      <c r="L61" s="220"/>
      <c r="M61" s="220"/>
      <c r="N61" s="185"/>
      <c r="O61" s="185"/>
      <c r="P61" s="213"/>
      <c r="Q61" s="213"/>
      <c r="R61" s="213"/>
      <c r="S61" s="213"/>
      <c r="T61" s="186"/>
      <c r="U61" s="186"/>
      <c r="V61" s="186"/>
      <c r="W61" s="191"/>
      <c r="X61" s="186"/>
      <c r="Y61" s="186"/>
      <c r="Z61" s="186"/>
    </row>
    <row r="62" spans="1:26" ht="15.75">
      <c r="A62" s="213"/>
      <c r="B62" s="213"/>
      <c r="C62" s="186"/>
      <c r="D62" s="222"/>
      <c r="E62" s="222"/>
      <c r="F62" s="186"/>
      <c r="G62" s="213"/>
      <c r="H62" s="213"/>
      <c r="I62" s="213"/>
      <c r="J62" s="213"/>
      <c r="K62" s="213"/>
      <c r="L62" s="220"/>
      <c r="M62" s="220"/>
      <c r="N62" s="185"/>
      <c r="O62" s="185"/>
      <c r="P62" s="213"/>
      <c r="Q62" s="213"/>
      <c r="R62" s="213"/>
      <c r="S62" s="213"/>
      <c r="T62" s="186"/>
      <c r="U62" s="186"/>
      <c r="V62" s="186"/>
      <c r="W62" s="191"/>
      <c r="X62" s="186"/>
      <c r="Y62" s="186"/>
      <c r="Z62" s="186"/>
    </row>
    <row r="63" spans="1:26" ht="15.75">
      <c r="A63" s="213"/>
      <c r="B63" s="213"/>
      <c r="C63" s="186"/>
      <c r="D63" s="222"/>
      <c r="E63" s="222"/>
      <c r="F63" s="186"/>
      <c r="G63" s="213"/>
      <c r="H63" s="213"/>
      <c r="I63" s="213"/>
      <c r="J63" s="213"/>
      <c r="K63" s="213"/>
      <c r="L63" s="220"/>
      <c r="M63" s="220"/>
      <c r="N63" s="185"/>
      <c r="O63" s="185"/>
      <c r="P63" s="213"/>
      <c r="Q63" s="213"/>
      <c r="R63" s="213"/>
      <c r="S63" s="213"/>
      <c r="T63" s="186"/>
      <c r="U63" s="186"/>
      <c r="V63" s="186"/>
      <c r="W63" s="191"/>
      <c r="X63" s="186"/>
      <c r="Y63" s="186"/>
      <c r="Z63" s="186"/>
    </row>
    <row r="64" spans="1:26" ht="15.75">
      <c r="A64" s="213"/>
      <c r="B64" s="213"/>
      <c r="C64" s="186"/>
      <c r="D64" s="222"/>
      <c r="E64" s="222"/>
      <c r="F64" s="186"/>
      <c r="G64" s="213"/>
      <c r="H64" s="213"/>
      <c r="I64" s="213"/>
      <c r="J64" s="213"/>
      <c r="K64" s="213"/>
      <c r="L64" s="220"/>
      <c r="M64" s="220"/>
      <c r="N64" s="185"/>
      <c r="O64" s="185"/>
      <c r="P64" s="213"/>
      <c r="Q64" s="213"/>
      <c r="R64" s="213"/>
      <c r="S64" s="213"/>
      <c r="T64" s="186"/>
      <c r="U64" s="186"/>
      <c r="V64" s="186"/>
      <c r="W64" s="191"/>
      <c r="X64" s="186"/>
      <c r="Y64" s="186"/>
      <c r="Z64" s="186"/>
    </row>
    <row r="65" spans="1:26" ht="15.75">
      <c r="A65" s="213"/>
      <c r="B65" s="213"/>
      <c r="C65" s="186"/>
      <c r="D65" s="222"/>
      <c r="E65" s="222"/>
      <c r="F65" s="186"/>
      <c r="G65" s="213"/>
      <c r="H65" s="213"/>
      <c r="I65" s="213"/>
      <c r="J65" s="213"/>
      <c r="K65" s="213"/>
      <c r="L65" s="220"/>
      <c r="M65" s="220"/>
      <c r="N65" s="185"/>
      <c r="O65" s="185"/>
      <c r="P65" s="213"/>
      <c r="Q65" s="213"/>
      <c r="R65" s="213"/>
      <c r="S65" s="213"/>
      <c r="T65" s="186"/>
      <c r="U65" s="186"/>
      <c r="V65" s="186"/>
      <c r="W65" s="191"/>
      <c r="X65" s="186"/>
      <c r="Y65" s="186"/>
      <c r="Z65" s="186"/>
    </row>
    <row r="66" spans="1:26" ht="15.75">
      <c r="A66" s="213"/>
      <c r="B66" s="213"/>
      <c r="C66" s="186"/>
      <c r="D66" s="222"/>
      <c r="E66" s="222"/>
      <c r="F66" s="186"/>
      <c r="G66" s="213"/>
      <c r="H66" s="213"/>
      <c r="I66" s="213"/>
      <c r="J66" s="213"/>
      <c r="K66" s="213"/>
      <c r="L66" s="220"/>
      <c r="M66" s="220"/>
      <c r="N66" s="185"/>
      <c r="O66" s="185"/>
      <c r="P66" s="213"/>
      <c r="Q66" s="213"/>
      <c r="R66" s="213"/>
      <c r="S66" s="213"/>
      <c r="T66" s="186"/>
      <c r="U66" s="186"/>
      <c r="V66" s="186"/>
      <c r="W66" s="191"/>
      <c r="X66" s="186"/>
      <c r="Y66" s="186"/>
      <c r="Z66" s="186"/>
    </row>
    <row r="67" spans="1:26" ht="15.75">
      <c r="A67" s="213"/>
      <c r="B67" s="213"/>
      <c r="C67" s="186"/>
      <c r="D67" s="222"/>
      <c r="E67" s="222"/>
      <c r="F67" s="186"/>
      <c r="G67" s="213"/>
      <c r="H67" s="213"/>
      <c r="I67" s="213"/>
      <c r="J67" s="213"/>
      <c r="K67" s="213"/>
      <c r="L67" s="220"/>
      <c r="M67" s="220"/>
      <c r="N67" s="185"/>
      <c r="O67" s="185"/>
      <c r="P67" s="213"/>
      <c r="Q67" s="213"/>
      <c r="R67" s="213"/>
      <c r="S67" s="213"/>
      <c r="T67" s="186"/>
      <c r="U67" s="186"/>
      <c r="V67" s="186"/>
      <c r="W67" s="191"/>
      <c r="X67" s="186"/>
      <c r="Y67" s="186"/>
      <c r="Z67" s="186"/>
    </row>
    <row r="68" spans="1:26" ht="15.75">
      <c r="A68" s="213"/>
      <c r="B68" s="213"/>
      <c r="C68" s="186"/>
      <c r="D68" s="222"/>
      <c r="E68" s="222"/>
      <c r="F68" s="186"/>
      <c r="G68" s="213"/>
      <c r="H68" s="213"/>
      <c r="I68" s="213"/>
      <c r="J68" s="213"/>
      <c r="K68" s="213"/>
      <c r="L68" s="220"/>
      <c r="M68" s="220"/>
      <c r="N68" s="185"/>
      <c r="O68" s="185"/>
      <c r="P68" s="213"/>
      <c r="Q68" s="213"/>
      <c r="R68" s="213"/>
      <c r="S68" s="213"/>
      <c r="T68" s="186"/>
      <c r="U68" s="186"/>
      <c r="V68" s="186"/>
      <c r="W68" s="191"/>
      <c r="X68" s="186"/>
      <c r="Y68" s="186"/>
      <c r="Z68" s="186"/>
    </row>
    <row r="69" spans="1:26" ht="15.75">
      <c r="A69" s="213"/>
      <c r="B69" s="213"/>
      <c r="C69" s="186"/>
      <c r="D69" s="222"/>
      <c r="E69" s="222"/>
      <c r="F69" s="186"/>
      <c r="G69" s="213"/>
      <c r="H69" s="213"/>
      <c r="I69" s="213"/>
      <c r="J69" s="213"/>
      <c r="K69" s="213"/>
      <c r="L69" s="220"/>
      <c r="M69" s="220"/>
      <c r="N69" s="185"/>
      <c r="O69" s="185"/>
      <c r="P69" s="213"/>
      <c r="Q69" s="213"/>
      <c r="R69" s="213"/>
      <c r="S69" s="213"/>
      <c r="T69" s="186"/>
      <c r="U69" s="186"/>
      <c r="V69" s="186"/>
      <c r="W69" s="191"/>
      <c r="X69" s="186"/>
      <c r="Y69" s="186"/>
      <c r="Z69" s="186"/>
    </row>
    <row r="70" spans="1:26" ht="15.75">
      <c r="A70" s="213"/>
      <c r="B70" s="213"/>
      <c r="C70" s="186"/>
      <c r="D70" s="222"/>
      <c r="E70" s="222"/>
      <c r="F70" s="186"/>
      <c r="G70" s="213"/>
      <c r="H70" s="213"/>
      <c r="I70" s="213"/>
      <c r="J70" s="213"/>
      <c r="K70" s="213"/>
      <c r="L70" s="220"/>
      <c r="M70" s="220"/>
      <c r="N70" s="185"/>
      <c r="O70" s="185"/>
      <c r="P70" s="213"/>
      <c r="Q70" s="213"/>
      <c r="R70" s="213"/>
      <c r="S70" s="213"/>
      <c r="T70" s="186"/>
      <c r="U70" s="186"/>
      <c r="V70" s="186"/>
      <c r="W70" s="191"/>
      <c r="X70" s="186"/>
      <c r="Y70" s="186"/>
      <c r="Z70" s="186"/>
    </row>
    <row r="71" spans="1:26" ht="15.75">
      <c r="A71" s="213"/>
      <c r="B71" s="213"/>
      <c r="C71" s="186"/>
      <c r="D71" s="222"/>
      <c r="E71" s="222"/>
      <c r="F71" s="186"/>
      <c r="G71" s="213"/>
      <c r="H71" s="213"/>
      <c r="I71" s="213"/>
      <c r="J71" s="213"/>
      <c r="K71" s="213"/>
      <c r="L71" s="220"/>
      <c r="M71" s="220"/>
      <c r="N71" s="185"/>
      <c r="O71" s="185"/>
      <c r="P71" s="213"/>
      <c r="Q71" s="213"/>
      <c r="R71" s="213"/>
      <c r="S71" s="213"/>
      <c r="T71" s="186"/>
      <c r="U71" s="186"/>
      <c r="V71" s="186"/>
      <c r="W71" s="191"/>
      <c r="X71" s="186"/>
      <c r="Y71" s="186"/>
      <c r="Z71" s="186"/>
    </row>
    <row r="72" spans="1:26" ht="15.75">
      <c r="A72" s="213"/>
      <c r="B72" s="213"/>
      <c r="C72" s="186"/>
      <c r="D72" s="222"/>
      <c r="E72" s="222"/>
      <c r="F72" s="186"/>
      <c r="G72" s="213"/>
      <c r="H72" s="213"/>
      <c r="I72" s="213"/>
      <c r="J72" s="213"/>
      <c r="K72" s="213"/>
      <c r="L72" s="220"/>
      <c r="M72" s="220"/>
      <c r="N72" s="185"/>
      <c r="O72" s="185"/>
      <c r="P72" s="213"/>
      <c r="Q72" s="213"/>
      <c r="R72" s="213"/>
      <c r="S72" s="213"/>
      <c r="T72" s="186"/>
      <c r="U72" s="186"/>
      <c r="V72" s="186"/>
      <c r="W72" s="191"/>
      <c r="X72" s="186"/>
      <c r="Y72" s="186"/>
      <c r="Z72" s="186"/>
    </row>
    <row r="73" spans="1:26" ht="15.75">
      <c r="A73" s="213"/>
      <c r="B73" s="213"/>
      <c r="C73" s="186"/>
      <c r="D73" s="222"/>
      <c r="E73" s="222"/>
      <c r="F73" s="186"/>
      <c r="G73" s="213"/>
      <c r="H73" s="213"/>
      <c r="I73" s="213"/>
      <c r="J73" s="213"/>
      <c r="K73" s="213"/>
      <c r="L73" s="220"/>
      <c r="M73" s="220"/>
      <c r="N73" s="185"/>
      <c r="O73" s="185"/>
      <c r="P73" s="213"/>
      <c r="Q73" s="213"/>
      <c r="R73" s="213"/>
      <c r="S73" s="213"/>
      <c r="T73" s="186"/>
      <c r="U73" s="186"/>
      <c r="V73" s="186"/>
      <c r="W73" s="191"/>
      <c r="X73" s="186"/>
      <c r="Y73" s="186"/>
      <c r="Z73" s="186"/>
    </row>
    <row r="74" spans="1:26" ht="15.75">
      <c r="A74" s="213"/>
      <c r="B74" s="213"/>
      <c r="C74" s="186"/>
      <c r="D74" s="222"/>
      <c r="E74" s="222"/>
      <c r="F74" s="186"/>
      <c r="G74" s="213"/>
      <c r="H74" s="213"/>
      <c r="I74" s="213"/>
      <c r="J74" s="213"/>
      <c r="K74" s="213"/>
      <c r="L74" s="220"/>
      <c r="M74" s="220"/>
      <c r="N74" s="185"/>
      <c r="O74" s="185"/>
      <c r="P74" s="213"/>
      <c r="Q74" s="213"/>
      <c r="R74" s="213"/>
      <c r="S74" s="213"/>
      <c r="T74" s="186"/>
      <c r="U74" s="186"/>
      <c r="V74" s="186"/>
      <c r="W74" s="191"/>
      <c r="X74" s="186"/>
      <c r="Y74" s="186"/>
      <c r="Z74" s="186"/>
    </row>
    <row r="75" spans="1:26" ht="15.75">
      <c r="A75" s="213"/>
      <c r="B75" s="213"/>
      <c r="C75" s="186"/>
      <c r="D75" s="222"/>
      <c r="E75" s="222"/>
      <c r="F75" s="186"/>
      <c r="G75" s="213"/>
      <c r="H75" s="213"/>
      <c r="I75" s="213"/>
      <c r="J75" s="213"/>
      <c r="K75" s="213"/>
      <c r="L75" s="220"/>
      <c r="M75" s="220"/>
      <c r="N75" s="185"/>
      <c r="O75" s="185"/>
      <c r="P75" s="213"/>
      <c r="Q75" s="213"/>
      <c r="R75" s="213"/>
      <c r="S75" s="213"/>
      <c r="T75" s="186"/>
      <c r="U75" s="186"/>
      <c r="V75" s="186"/>
      <c r="W75" s="191"/>
      <c r="X75" s="186"/>
      <c r="Y75" s="186"/>
      <c r="Z75" s="186"/>
    </row>
    <row r="76" spans="1:26" ht="15.75">
      <c r="A76" s="213"/>
      <c r="B76" s="213"/>
      <c r="C76" s="186"/>
      <c r="D76" s="222"/>
      <c r="E76" s="222"/>
      <c r="F76" s="186"/>
      <c r="G76" s="213"/>
      <c r="H76" s="213"/>
      <c r="I76" s="213"/>
      <c r="J76" s="213"/>
      <c r="K76" s="213"/>
      <c r="L76" s="220"/>
      <c r="M76" s="220"/>
      <c r="N76" s="185"/>
      <c r="O76" s="185"/>
      <c r="P76" s="213"/>
      <c r="Q76" s="213"/>
      <c r="R76" s="213"/>
      <c r="S76" s="213"/>
      <c r="T76" s="186"/>
      <c r="U76" s="186"/>
      <c r="V76" s="186"/>
      <c r="W76" s="191"/>
      <c r="X76" s="186"/>
      <c r="Y76" s="186"/>
      <c r="Z76" s="186"/>
    </row>
    <row r="77" spans="1:26" ht="15.75">
      <c r="A77" s="213"/>
      <c r="B77" s="213"/>
      <c r="C77" s="186"/>
      <c r="D77" s="222"/>
      <c r="E77" s="222"/>
      <c r="F77" s="186"/>
      <c r="G77" s="213"/>
      <c r="H77" s="213"/>
      <c r="I77" s="213"/>
      <c r="J77" s="213"/>
      <c r="K77" s="213"/>
      <c r="L77" s="220"/>
      <c r="M77" s="220"/>
      <c r="N77" s="185"/>
      <c r="O77" s="185"/>
      <c r="P77" s="213"/>
      <c r="Q77" s="213"/>
      <c r="R77" s="213"/>
      <c r="S77" s="213"/>
      <c r="T77" s="186"/>
      <c r="U77" s="186"/>
      <c r="V77" s="186"/>
      <c r="W77" s="191"/>
      <c r="X77" s="186"/>
      <c r="Y77" s="186"/>
      <c r="Z77" s="186"/>
    </row>
    <row r="78" spans="1:26" ht="15.75">
      <c r="A78" s="213"/>
      <c r="B78" s="213"/>
      <c r="C78" s="186"/>
      <c r="D78" s="222"/>
      <c r="E78" s="222"/>
      <c r="F78" s="186"/>
      <c r="G78" s="213"/>
      <c r="H78" s="213"/>
      <c r="I78" s="213"/>
      <c r="J78" s="213"/>
      <c r="K78" s="213"/>
      <c r="L78" s="220"/>
      <c r="M78" s="220"/>
      <c r="N78" s="185"/>
      <c r="O78" s="185"/>
      <c r="P78" s="213"/>
      <c r="Q78" s="213"/>
      <c r="R78" s="213"/>
      <c r="S78" s="213"/>
      <c r="T78" s="186"/>
      <c r="U78" s="186"/>
      <c r="V78" s="186"/>
      <c r="W78" s="191"/>
      <c r="X78" s="186"/>
      <c r="Y78" s="186"/>
      <c r="Z78" s="186"/>
    </row>
    <row r="79" spans="1:26" ht="15.75">
      <c r="A79" s="213"/>
      <c r="B79" s="213"/>
      <c r="C79" s="186"/>
      <c r="D79" s="222"/>
      <c r="E79" s="222"/>
      <c r="F79" s="186"/>
      <c r="G79" s="213"/>
      <c r="H79" s="213"/>
      <c r="I79" s="213"/>
      <c r="J79" s="213"/>
      <c r="K79" s="213"/>
      <c r="L79" s="220"/>
      <c r="M79" s="220"/>
      <c r="N79" s="185"/>
      <c r="O79" s="185"/>
      <c r="P79" s="213"/>
      <c r="Q79" s="213"/>
      <c r="R79" s="213"/>
      <c r="S79" s="213"/>
      <c r="T79" s="186"/>
      <c r="U79" s="186"/>
      <c r="V79" s="186"/>
      <c r="W79" s="191"/>
      <c r="X79" s="186"/>
      <c r="Y79" s="186"/>
      <c r="Z79" s="186"/>
    </row>
    <row r="80" spans="1:26" ht="15.75">
      <c r="A80" s="213"/>
      <c r="B80" s="213"/>
      <c r="C80" s="186"/>
      <c r="D80" s="222"/>
      <c r="E80" s="222"/>
      <c r="F80" s="186"/>
      <c r="G80" s="213"/>
      <c r="H80" s="213"/>
      <c r="I80" s="213"/>
      <c r="J80" s="213"/>
      <c r="K80" s="213"/>
      <c r="L80" s="220"/>
      <c r="M80" s="220"/>
      <c r="N80" s="185"/>
      <c r="O80" s="185"/>
      <c r="P80" s="213"/>
      <c r="Q80" s="213"/>
      <c r="R80" s="213"/>
      <c r="S80" s="213"/>
      <c r="T80" s="186"/>
      <c r="U80" s="186"/>
      <c r="V80" s="186"/>
      <c r="W80" s="191"/>
      <c r="X80" s="186"/>
      <c r="Y80" s="186"/>
      <c r="Z80" s="186"/>
    </row>
    <row r="81" spans="1:26" ht="15.75">
      <c r="A81" s="213"/>
      <c r="B81" s="213"/>
      <c r="C81" s="186"/>
      <c r="D81" s="222"/>
      <c r="E81" s="222"/>
      <c r="F81" s="186"/>
      <c r="G81" s="213"/>
      <c r="H81" s="213"/>
      <c r="I81" s="213"/>
      <c r="J81" s="213"/>
      <c r="K81" s="213"/>
      <c r="L81" s="220"/>
      <c r="M81" s="220"/>
      <c r="N81" s="185"/>
      <c r="O81" s="185"/>
      <c r="P81" s="213"/>
      <c r="Q81" s="213"/>
      <c r="R81" s="213"/>
      <c r="S81" s="213"/>
      <c r="T81" s="186"/>
      <c r="U81" s="186"/>
      <c r="V81" s="186"/>
      <c r="W81" s="191"/>
      <c r="X81" s="186"/>
      <c r="Y81" s="186"/>
      <c r="Z81" s="186"/>
    </row>
    <row r="82" spans="1:26" ht="15.75">
      <c r="A82" s="213"/>
      <c r="B82" s="213"/>
      <c r="C82" s="186"/>
      <c r="D82" s="222"/>
      <c r="E82" s="222"/>
      <c r="F82" s="186"/>
      <c r="G82" s="213"/>
      <c r="H82" s="213"/>
      <c r="I82" s="213"/>
      <c r="J82" s="213"/>
      <c r="K82" s="213"/>
      <c r="L82" s="220"/>
      <c r="M82" s="220"/>
      <c r="N82" s="185"/>
      <c r="O82" s="185"/>
      <c r="P82" s="213"/>
      <c r="Q82" s="213"/>
      <c r="R82" s="213"/>
      <c r="S82" s="213"/>
      <c r="T82" s="186"/>
      <c r="U82" s="186"/>
      <c r="V82" s="186"/>
      <c r="W82" s="191"/>
      <c r="X82" s="186"/>
      <c r="Y82" s="186"/>
      <c r="Z82" s="186"/>
    </row>
    <row r="83" spans="1:26" ht="15.75">
      <c r="A83" s="213"/>
      <c r="B83" s="213"/>
      <c r="C83" s="186"/>
      <c r="D83" s="222"/>
      <c r="E83" s="222"/>
      <c r="F83" s="186"/>
      <c r="G83" s="213"/>
      <c r="H83" s="213"/>
      <c r="I83" s="213"/>
      <c r="J83" s="213"/>
      <c r="K83" s="213"/>
      <c r="L83" s="220"/>
      <c r="M83" s="220"/>
      <c r="N83" s="185"/>
      <c r="O83" s="185"/>
      <c r="P83" s="213"/>
      <c r="Q83" s="213"/>
      <c r="R83" s="213"/>
      <c r="S83" s="213"/>
      <c r="T83" s="186"/>
      <c r="U83" s="186"/>
      <c r="V83" s="186"/>
      <c r="W83" s="191"/>
      <c r="X83" s="186"/>
      <c r="Y83" s="186"/>
      <c r="Z83" s="186"/>
    </row>
    <row r="84" spans="1:26" ht="15.75">
      <c r="A84" s="213"/>
      <c r="B84" s="213"/>
      <c r="C84" s="186"/>
      <c r="D84" s="222"/>
      <c r="E84" s="222"/>
      <c r="F84" s="186"/>
      <c r="G84" s="213"/>
      <c r="H84" s="213"/>
      <c r="I84" s="213"/>
      <c r="J84" s="213"/>
      <c r="K84" s="213"/>
      <c r="L84" s="220"/>
      <c r="M84" s="220"/>
      <c r="N84" s="185"/>
      <c r="O84" s="185"/>
      <c r="P84" s="213"/>
      <c r="Q84" s="213"/>
      <c r="R84" s="213"/>
      <c r="S84" s="213"/>
      <c r="T84" s="186"/>
      <c r="U84" s="186"/>
      <c r="V84" s="186"/>
      <c r="W84" s="191"/>
      <c r="X84" s="186"/>
      <c r="Y84" s="186"/>
      <c r="Z84" s="186"/>
    </row>
    <row r="85" spans="1:26" ht="15.75">
      <c r="A85" s="213"/>
      <c r="B85" s="213"/>
      <c r="C85" s="186"/>
      <c r="D85" s="222"/>
      <c r="E85" s="222"/>
      <c r="F85" s="186"/>
      <c r="G85" s="213"/>
      <c r="H85" s="213"/>
      <c r="I85" s="213"/>
      <c r="J85" s="213"/>
      <c r="K85" s="213"/>
      <c r="L85" s="220"/>
      <c r="M85" s="220"/>
      <c r="N85" s="185"/>
      <c r="O85" s="185"/>
      <c r="P85" s="213"/>
      <c r="Q85" s="213"/>
      <c r="R85" s="213"/>
      <c r="S85" s="213"/>
      <c r="T85" s="186"/>
      <c r="U85" s="186"/>
      <c r="V85" s="186"/>
      <c r="W85" s="191"/>
      <c r="X85" s="186"/>
      <c r="Y85" s="186"/>
      <c r="Z85" s="186"/>
    </row>
    <row r="86" spans="1:26" ht="15.75">
      <c r="A86" s="213"/>
      <c r="B86" s="213"/>
      <c r="C86" s="186"/>
      <c r="D86" s="222"/>
      <c r="E86" s="222"/>
      <c r="F86" s="186"/>
      <c r="G86" s="213"/>
      <c r="H86" s="213"/>
      <c r="I86" s="213"/>
      <c r="J86" s="213"/>
      <c r="K86" s="213"/>
      <c r="L86" s="220"/>
      <c r="M86" s="220"/>
      <c r="N86" s="185"/>
      <c r="O86" s="185"/>
      <c r="P86" s="213"/>
      <c r="Q86" s="213"/>
      <c r="R86" s="213"/>
      <c r="S86" s="213"/>
      <c r="T86" s="186"/>
      <c r="U86" s="186"/>
      <c r="V86" s="186"/>
      <c r="W86" s="191"/>
      <c r="X86" s="186"/>
      <c r="Y86" s="186"/>
      <c r="Z86" s="186"/>
    </row>
    <row r="87" spans="1:26" ht="15.75">
      <c r="A87" s="213"/>
      <c r="B87" s="213"/>
      <c r="C87" s="186"/>
      <c r="D87" s="222"/>
      <c r="E87" s="222"/>
      <c r="F87" s="186"/>
      <c r="G87" s="213"/>
      <c r="H87" s="213"/>
      <c r="I87" s="213"/>
      <c r="J87" s="213"/>
      <c r="K87" s="213"/>
      <c r="L87" s="220"/>
      <c r="M87" s="220"/>
      <c r="N87" s="185"/>
      <c r="O87" s="185"/>
      <c r="P87" s="213"/>
      <c r="Q87" s="213"/>
      <c r="R87" s="213"/>
      <c r="S87" s="213"/>
      <c r="T87" s="186"/>
      <c r="U87" s="186"/>
      <c r="V87" s="186"/>
      <c r="W87" s="191"/>
      <c r="X87" s="186"/>
      <c r="Y87" s="186"/>
      <c r="Z87" s="186"/>
    </row>
    <row r="88" spans="1:26" ht="15.75">
      <c r="A88" s="213"/>
      <c r="B88" s="213"/>
      <c r="C88" s="186"/>
      <c r="D88" s="222"/>
      <c r="E88" s="222"/>
      <c r="F88" s="186"/>
      <c r="G88" s="213"/>
      <c r="H88" s="213"/>
      <c r="I88" s="213"/>
      <c r="J88" s="213"/>
      <c r="K88" s="213"/>
      <c r="L88" s="220"/>
      <c r="M88" s="220"/>
      <c r="N88" s="185"/>
      <c r="O88" s="185"/>
      <c r="P88" s="213"/>
      <c r="Q88" s="213"/>
      <c r="R88" s="213"/>
      <c r="S88" s="213"/>
      <c r="T88" s="186"/>
      <c r="U88" s="186"/>
      <c r="V88" s="186"/>
      <c r="W88" s="191"/>
      <c r="X88" s="186"/>
      <c r="Y88" s="186"/>
      <c r="Z88" s="186"/>
    </row>
    <row r="89" spans="1:26" ht="15.75">
      <c r="A89" s="213"/>
      <c r="B89" s="213"/>
      <c r="C89" s="186"/>
      <c r="D89" s="222"/>
      <c r="E89" s="222"/>
      <c r="F89" s="186"/>
      <c r="G89" s="213"/>
      <c r="H89" s="213"/>
      <c r="I89" s="213"/>
      <c r="J89" s="213"/>
      <c r="K89" s="213"/>
      <c r="L89" s="220"/>
      <c r="M89" s="220"/>
      <c r="N89" s="185"/>
      <c r="O89" s="185"/>
      <c r="P89" s="213"/>
      <c r="Q89" s="213"/>
      <c r="R89" s="213"/>
      <c r="S89" s="213"/>
      <c r="T89" s="186"/>
      <c r="U89" s="186"/>
      <c r="V89" s="186"/>
      <c r="W89" s="191"/>
      <c r="X89" s="186"/>
      <c r="Y89" s="186"/>
      <c r="Z89" s="186"/>
    </row>
    <row r="90" spans="1:26" ht="15.75">
      <c r="A90" s="213"/>
      <c r="B90" s="213"/>
      <c r="C90" s="186"/>
      <c r="D90" s="222"/>
      <c r="E90" s="222"/>
      <c r="F90" s="186"/>
      <c r="G90" s="213"/>
      <c r="H90" s="213"/>
      <c r="I90" s="213"/>
      <c r="J90" s="213"/>
      <c r="K90" s="213"/>
      <c r="L90" s="220"/>
      <c r="M90" s="220"/>
      <c r="N90" s="185"/>
      <c r="O90" s="185"/>
      <c r="P90" s="213"/>
      <c r="Q90" s="213"/>
      <c r="R90" s="213"/>
      <c r="S90" s="213"/>
      <c r="T90" s="186"/>
      <c r="U90" s="186"/>
      <c r="V90" s="186"/>
      <c r="W90" s="191"/>
      <c r="X90" s="186"/>
      <c r="Y90" s="186"/>
      <c r="Z90" s="186"/>
    </row>
    <row r="91" spans="1:26" ht="15.75">
      <c r="A91" s="213"/>
      <c r="B91" s="213"/>
      <c r="C91" s="186"/>
      <c r="D91" s="222"/>
      <c r="E91" s="222"/>
      <c r="F91" s="186"/>
      <c r="G91" s="213"/>
      <c r="H91" s="213"/>
      <c r="I91" s="213"/>
      <c r="J91" s="213"/>
      <c r="K91" s="213"/>
      <c r="L91" s="220"/>
      <c r="M91" s="220"/>
      <c r="N91" s="185"/>
      <c r="O91" s="185"/>
      <c r="P91" s="213"/>
      <c r="Q91" s="213"/>
      <c r="R91" s="213"/>
      <c r="S91" s="213"/>
      <c r="T91" s="186"/>
      <c r="U91" s="186"/>
      <c r="V91" s="186"/>
      <c r="W91" s="191"/>
      <c r="X91" s="186"/>
      <c r="Y91" s="186"/>
      <c r="Z91" s="186"/>
    </row>
    <row r="92" spans="1:26" ht="15.75">
      <c r="A92" s="213"/>
      <c r="B92" s="213"/>
      <c r="C92" s="186"/>
      <c r="D92" s="222"/>
      <c r="E92" s="222"/>
      <c r="F92" s="186"/>
      <c r="G92" s="213"/>
      <c r="H92" s="213"/>
      <c r="I92" s="213"/>
      <c r="J92" s="213"/>
      <c r="K92" s="213"/>
      <c r="L92" s="220"/>
      <c r="M92" s="220"/>
      <c r="N92" s="185"/>
      <c r="O92" s="185"/>
      <c r="P92" s="213"/>
      <c r="Q92" s="213"/>
      <c r="R92" s="213"/>
      <c r="S92" s="213"/>
      <c r="T92" s="186"/>
      <c r="U92" s="186"/>
      <c r="V92" s="186"/>
      <c r="W92" s="191"/>
      <c r="X92" s="186"/>
      <c r="Y92" s="186"/>
      <c r="Z92" s="186"/>
    </row>
    <row r="93" spans="1:26" ht="15.75">
      <c r="A93" s="213"/>
      <c r="B93" s="213"/>
      <c r="C93" s="186"/>
      <c r="D93" s="222"/>
      <c r="E93" s="222"/>
      <c r="F93" s="186"/>
      <c r="G93" s="213"/>
      <c r="H93" s="213"/>
      <c r="I93" s="213"/>
      <c r="J93" s="213"/>
      <c r="K93" s="213"/>
      <c r="L93" s="220"/>
      <c r="M93" s="220"/>
      <c r="N93" s="185"/>
      <c r="O93" s="185"/>
      <c r="P93" s="213"/>
      <c r="Q93" s="213"/>
      <c r="R93" s="213"/>
      <c r="S93" s="213"/>
      <c r="T93" s="186"/>
      <c r="U93" s="186"/>
      <c r="V93" s="186"/>
      <c r="W93" s="191"/>
      <c r="X93" s="186"/>
      <c r="Y93" s="186"/>
      <c r="Z93" s="186"/>
    </row>
    <row r="94" spans="1:26" ht="15.75">
      <c r="A94" s="213"/>
      <c r="B94" s="213"/>
      <c r="C94" s="186"/>
      <c r="D94" s="222"/>
      <c r="E94" s="222"/>
      <c r="F94" s="186"/>
      <c r="G94" s="213"/>
      <c r="H94" s="213"/>
      <c r="I94" s="213"/>
      <c r="J94" s="213"/>
      <c r="K94" s="213"/>
      <c r="L94" s="220"/>
      <c r="M94" s="220"/>
      <c r="N94" s="185"/>
      <c r="O94" s="185"/>
      <c r="P94" s="213"/>
      <c r="Q94" s="213"/>
      <c r="R94" s="213"/>
      <c r="S94" s="213"/>
      <c r="T94" s="186"/>
      <c r="U94" s="186"/>
      <c r="V94" s="186"/>
      <c r="W94" s="191"/>
      <c r="X94" s="186"/>
      <c r="Y94" s="186"/>
      <c r="Z94" s="186"/>
    </row>
    <row r="95" spans="1:26" ht="15.75">
      <c r="A95" s="213"/>
      <c r="B95" s="213"/>
      <c r="C95" s="186"/>
      <c r="D95" s="222"/>
      <c r="E95" s="222"/>
      <c r="F95" s="186"/>
      <c r="G95" s="213"/>
      <c r="H95" s="213"/>
      <c r="I95" s="213"/>
      <c r="J95" s="213"/>
      <c r="K95" s="213"/>
      <c r="L95" s="220"/>
      <c r="M95" s="220"/>
      <c r="N95" s="185"/>
      <c r="O95" s="185"/>
      <c r="P95" s="213"/>
      <c r="Q95" s="213"/>
      <c r="R95" s="213"/>
      <c r="S95" s="213"/>
      <c r="T95" s="186"/>
      <c r="U95" s="186"/>
      <c r="V95" s="186"/>
      <c r="W95" s="191"/>
      <c r="X95" s="186"/>
      <c r="Y95" s="186"/>
      <c r="Z95" s="186"/>
    </row>
    <row r="96" spans="1:26" ht="15.75">
      <c r="A96" s="213"/>
      <c r="B96" s="213"/>
      <c r="C96" s="186"/>
      <c r="D96" s="222"/>
      <c r="E96" s="222"/>
      <c r="F96" s="186"/>
      <c r="G96" s="213"/>
      <c r="H96" s="213"/>
      <c r="I96" s="213"/>
      <c r="J96" s="213"/>
      <c r="K96" s="213"/>
      <c r="L96" s="220"/>
      <c r="M96" s="220"/>
      <c r="N96" s="185"/>
      <c r="O96" s="185"/>
      <c r="P96" s="213"/>
      <c r="Q96" s="213"/>
      <c r="R96" s="213"/>
      <c r="S96" s="213"/>
      <c r="T96" s="186"/>
      <c r="U96" s="186"/>
      <c r="V96" s="186"/>
      <c r="W96" s="191"/>
      <c r="X96" s="186"/>
      <c r="Y96" s="186"/>
      <c r="Z96" s="186"/>
    </row>
    <row r="97" spans="1:26" ht="15.75">
      <c r="A97" s="213"/>
      <c r="B97" s="213"/>
      <c r="C97" s="186"/>
      <c r="D97" s="222"/>
      <c r="E97" s="222"/>
      <c r="F97" s="186"/>
      <c r="G97" s="213"/>
      <c r="H97" s="213"/>
      <c r="I97" s="213"/>
      <c r="J97" s="213"/>
      <c r="K97" s="213"/>
      <c r="L97" s="220"/>
      <c r="M97" s="220"/>
      <c r="N97" s="185"/>
      <c r="O97" s="185"/>
      <c r="P97" s="213"/>
      <c r="Q97" s="213"/>
      <c r="R97" s="213"/>
      <c r="S97" s="213"/>
      <c r="T97" s="186"/>
      <c r="U97" s="186"/>
      <c r="V97" s="186"/>
      <c r="W97" s="191"/>
      <c r="X97" s="186"/>
      <c r="Y97" s="186"/>
      <c r="Z97" s="186"/>
    </row>
    <row r="98" spans="1:26" ht="15.75">
      <c r="A98" s="213"/>
      <c r="B98" s="213"/>
      <c r="C98" s="186"/>
      <c r="D98" s="222"/>
      <c r="E98" s="222"/>
      <c r="F98" s="186"/>
      <c r="G98" s="213"/>
      <c r="H98" s="213"/>
      <c r="I98" s="213"/>
      <c r="J98" s="213"/>
      <c r="K98" s="213"/>
      <c r="L98" s="220"/>
      <c r="M98" s="220"/>
      <c r="N98" s="185"/>
      <c r="O98" s="185"/>
      <c r="P98" s="213"/>
      <c r="Q98" s="213"/>
      <c r="R98" s="213"/>
      <c r="S98" s="213"/>
      <c r="T98" s="186"/>
      <c r="U98" s="186"/>
      <c r="V98" s="186"/>
      <c r="W98" s="191"/>
      <c r="X98" s="186"/>
      <c r="Y98" s="186"/>
      <c r="Z98" s="186"/>
    </row>
    <row r="99" spans="1:26" ht="15.75">
      <c r="A99" s="213"/>
      <c r="B99" s="213"/>
      <c r="C99" s="186"/>
      <c r="D99" s="222"/>
      <c r="E99" s="222"/>
      <c r="F99" s="186"/>
      <c r="G99" s="213"/>
      <c r="H99" s="213"/>
      <c r="I99" s="213"/>
      <c r="J99" s="213"/>
      <c r="K99" s="213"/>
      <c r="L99" s="220"/>
      <c r="M99" s="220"/>
      <c r="N99" s="185"/>
      <c r="O99" s="185"/>
      <c r="P99" s="213"/>
      <c r="Q99" s="213"/>
      <c r="R99" s="213"/>
      <c r="S99" s="213"/>
      <c r="T99" s="186"/>
      <c r="U99" s="186"/>
      <c r="V99" s="186"/>
      <c r="W99" s="191"/>
      <c r="X99" s="186"/>
      <c r="Y99" s="186"/>
      <c r="Z99" s="186"/>
    </row>
    <row r="100" spans="1:26" ht="15.75">
      <c r="A100" s="213"/>
      <c r="B100" s="213"/>
      <c r="C100" s="186"/>
      <c r="D100" s="222"/>
      <c r="E100" s="222"/>
      <c r="F100" s="186"/>
      <c r="G100" s="213"/>
      <c r="H100" s="213"/>
      <c r="I100" s="213"/>
      <c r="J100" s="213"/>
      <c r="K100" s="213"/>
      <c r="L100" s="220"/>
      <c r="M100" s="220"/>
      <c r="N100" s="185"/>
      <c r="O100" s="185"/>
      <c r="P100" s="213"/>
      <c r="Q100" s="213"/>
      <c r="R100" s="213"/>
      <c r="S100" s="213"/>
      <c r="T100" s="186"/>
      <c r="U100" s="186"/>
      <c r="V100" s="186"/>
      <c r="W100" s="191"/>
      <c r="X100" s="186"/>
      <c r="Y100" s="186"/>
      <c r="Z100" s="186"/>
    </row>
    <row r="101" spans="1:26" ht="15.75">
      <c r="A101" s="213"/>
      <c r="B101" s="213"/>
      <c r="C101" s="186"/>
      <c r="D101" s="222"/>
      <c r="E101" s="222"/>
      <c r="F101" s="186"/>
      <c r="G101" s="213"/>
      <c r="H101" s="213"/>
      <c r="I101" s="213"/>
      <c r="J101" s="213"/>
      <c r="K101" s="213"/>
      <c r="L101" s="220"/>
      <c r="M101" s="220"/>
      <c r="N101" s="185"/>
      <c r="O101" s="185"/>
      <c r="P101" s="213"/>
      <c r="Q101" s="213"/>
      <c r="R101" s="213"/>
      <c r="S101" s="213"/>
      <c r="T101" s="186"/>
      <c r="U101" s="186"/>
      <c r="V101" s="186"/>
      <c r="W101" s="191"/>
      <c r="X101" s="186"/>
      <c r="Y101" s="186"/>
      <c r="Z101" s="186"/>
    </row>
    <row r="102" spans="1:26" ht="15.75">
      <c r="A102" s="213"/>
      <c r="B102" s="213"/>
      <c r="C102" s="186"/>
      <c r="D102" s="222"/>
      <c r="E102" s="222"/>
      <c r="F102" s="186"/>
      <c r="G102" s="213"/>
      <c r="H102" s="213"/>
      <c r="I102" s="213"/>
      <c r="J102" s="213"/>
      <c r="K102" s="213"/>
      <c r="L102" s="220"/>
      <c r="M102" s="220"/>
      <c r="N102" s="185"/>
      <c r="O102" s="185"/>
      <c r="P102" s="213"/>
      <c r="Q102" s="213"/>
      <c r="R102" s="213"/>
      <c r="S102" s="213"/>
      <c r="T102" s="186"/>
      <c r="U102" s="186"/>
      <c r="V102" s="186"/>
      <c r="W102" s="191"/>
      <c r="X102" s="186"/>
      <c r="Y102" s="186"/>
      <c r="Z102" s="186"/>
    </row>
    <row r="103" spans="1:26" ht="15.75">
      <c r="A103" s="213"/>
      <c r="B103" s="213"/>
      <c r="C103" s="186"/>
      <c r="D103" s="222"/>
      <c r="E103" s="222"/>
      <c r="F103" s="186"/>
      <c r="G103" s="213"/>
      <c r="H103" s="213"/>
      <c r="I103" s="213"/>
      <c r="J103" s="213"/>
      <c r="K103" s="213"/>
      <c r="L103" s="220"/>
      <c r="M103" s="220"/>
      <c r="N103" s="185"/>
      <c r="O103" s="185"/>
      <c r="P103" s="213"/>
      <c r="Q103" s="213"/>
      <c r="R103" s="213"/>
      <c r="S103" s="213"/>
      <c r="T103" s="186"/>
      <c r="U103" s="186"/>
      <c r="V103" s="186"/>
      <c r="W103" s="191"/>
      <c r="X103" s="186"/>
      <c r="Y103" s="186"/>
      <c r="Z103" s="186"/>
    </row>
    <row r="104" spans="1:26" ht="15.75">
      <c r="A104" s="213"/>
      <c r="B104" s="213"/>
      <c r="C104" s="186"/>
      <c r="D104" s="222"/>
      <c r="E104" s="222"/>
      <c r="F104" s="186"/>
      <c r="G104" s="213"/>
      <c r="H104" s="213"/>
      <c r="I104" s="213"/>
      <c r="J104" s="213"/>
      <c r="K104" s="213"/>
      <c r="L104" s="220"/>
      <c r="M104" s="220"/>
      <c r="N104" s="185"/>
      <c r="O104" s="185"/>
      <c r="P104" s="213"/>
      <c r="Q104" s="213"/>
      <c r="R104" s="213"/>
      <c r="S104" s="213"/>
      <c r="T104" s="186"/>
      <c r="U104" s="186"/>
      <c r="V104" s="186"/>
      <c r="W104" s="191"/>
      <c r="X104" s="186"/>
      <c r="Y104" s="186"/>
      <c r="Z104" s="186"/>
    </row>
    <row r="105" spans="1:26" ht="15.75">
      <c r="A105" s="213"/>
      <c r="B105" s="213"/>
      <c r="C105" s="186"/>
      <c r="D105" s="222"/>
      <c r="E105" s="222"/>
      <c r="F105" s="186"/>
      <c r="G105" s="213"/>
      <c r="H105" s="213"/>
      <c r="I105" s="213"/>
      <c r="J105" s="213"/>
      <c r="K105" s="213"/>
      <c r="L105" s="220"/>
      <c r="M105" s="220"/>
      <c r="N105" s="185"/>
      <c r="O105" s="185"/>
      <c r="P105" s="213"/>
      <c r="Q105" s="213"/>
      <c r="R105" s="213"/>
      <c r="S105" s="213"/>
      <c r="T105" s="186"/>
      <c r="U105" s="186"/>
      <c r="V105" s="186"/>
      <c r="W105" s="191"/>
      <c r="X105" s="186"/>
      <c r="Y105" s="186"/>
      <c r="Z105" s="186"/>
    </row>
    <row r="106" spans="1:26" ht="15.75">
      <c r="A106" s="213"/>
      <c r="B106" s="213"/>
      <c r="C106" s="186"/>
      <c r="D106" s="222"/>
      <c r="E106" s="222"/>
      <c r="F106" s="186"/>
      <c r="G106" s="213"/>
      <c r="H106" s="213"/>
      <c r="I106" s="213"/>
      <c r="J106" s="213"/>
      <c r="K106" s="213"/>
      <c r="L106" s="220"/>
      <c r="M106" s="220"/>
      <c r="N106" s="185"/>
      <c r="O106" s="185"/>
      <c r="P106" s="213"/>
      <c r="Q106" s="213"/>
      <c r="R106" s="213"/>
      <c r="S106" s="213"/>
      <c r="T106" s="186"/>
      <c r="U106" s="186"/>
      <c r="V106" s="186"/>
      <c r="W106" s="191"/>
      <c r="X106" s="186"/>
      <c r="Y106" s="186"/>
      <c r="Z106" s="186"/>
    </row>
    <row r="107" spans="1:26" ht="15.75">
      <c r="A107" s="213"/>
      <c r="B107" s="213"/>
      <c r="C107" s="186"/>
      <c r="D107" s="222"/>
      <c r="E107" s="222"/>
      <c r="F107" s="186"/>
      <c r="G107" s="213"/>
      <c r="H107" s="213"/>
      <c r="I107" s="213"/>
      <c r="J107" s="213"/>
      <c r="K107" s="213"/>
      <c r="L107" s="220"/>
      <c r="M107" s="220"/>
      <c r="N107" s="185"/>
      <c r="O107" s="185"/>
      <c r="P107" s="213"/>
      <c r="Q107" s="213"/>
      <c r="R107" s="213"/>
      <c r="S107" s="213"/>
      <c r="T107" s="186"/>
      <c r="U107" s="186"/>
      <c r="V107" s="186"/>
      <c r="W107" s="191"/>
      <c r="X107" s="186"/>
      <c r="Y107" s="186"/>
      <c r="Z107" s="186"/>
    </row>
    <row r="108" spans="1:26" ht="15.75">
      <c r="A108" s="213"/>
      <c r="B108" s="213"/>
      <c r="C108" s="186"/>
      <c r="D108" s="222"/>
      <c r="E108" s="222"/>
      <c r="F108" s="186"/>
      <c r="G108" s="213"/>
      <c r="H108" s="213"/>
      <c r="I108" s="213"/>
      <c r="J108" s="213"/>
      <c r="K108" s="213"/>
      <c r="L108" s="220"/>
      <c r="M108" s="220"/>
      <c r="N108" s="185"/>
      <c r="O108" s="185"/>
      <c r="P108" s="213"/>
      <c r="Q108" s="213"/>
      <c r="R108" s="213"/>
      <c r="S108" s="213"/>
      <c r="T108" s="186"/>
      <c r="U108" s="186"/>
      <c r="V108" s="186"/>
      <c r="W108" s="191"/>
      <c r="X108" s="186"/>
      <c r="Y108" s="186"/>
      <c r="Z108" s="186"/>
    </row>
    <row r="109" spans="1:26" ht="15.75">
      <c r="A109" s="213"/>
      <c r="B109" s="213"/>
      <c r="C109" s="186"/>
      <c r="D109" s="222"/>
      <c r="E109" s="222"/>
      <c r="F109" s="186"/>
      <c r="G109" s="213"/>
      <c r="H109" s="213"/>
      <c r="I109" s="213"/>
      <c r="J109" s="213"/>
      <c r="K109" s="213"/>
      <c r="L109" s="220"/>
      <c r="M109" s="220"/>
      <c r="N109" s="185"/>
      <c r="O109" s="185"/>
      <c r="P109" s="213"/>
      <c r="Q109" s="213"/>
      <c r="R109" s="213"/>
      <c r="S109" s="213"/>
      <c r="T109" s="186"/>
      <c r="U109" s="186"/>
      <c r="V109" s="186"/>
      <c r="W109" s="191"/>
      <c r="X109" s="186"/>
      <c r="Y109" s="186"/>
      <c r="Z109" s="186"/>
    </row>
  </sheetData>
  <mergeCells count="2">
    <mergeCell ref="P3:R3"/>
    <mergeCell ref="N3:O3"/>
  </mergeCells>
  <printOptions/>
  <pageMargins left="0.15" right="0.49" top="0.07" bottom="0.13" header="0" footer="0"/>
  <pageSetup fitToHeight="2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">
      <selection activeCell="F75" sqref="F75"/>
    </sheetView>
  </sheetViews>
  <sheetFormatPr defaultColWidth="8.796875" defaultRowHeight="15.75"/>
  <cols>
    <col min="1" max="1" width="8.3984375" style="34" customWidth="1"/>
    <col min="2" max="5" width="4.3984375" style="34" customWidth="1"/>
    <col min="6" max="6" width="18.3984375" style="34" customWidth="1"/>
    <col min="7" max="8" width="4.3984375" style="34" customWidth="1"/>
    <col min="9" max="16384" width="10.19921875" style="34" customWidth="1"/>
  </cols>
  <sheetData>
    <row r="1" spans="1:7" ht="15.75">
      <c r="A1" s="35" t="s">
        <v>115</v>
      </c>
      <c r="G1" s="35"/>
    </row>
    <row r="2" spans="1:2" ht="15">
      <c r="A2" s="34" t="s">
        <v>110</v>
      </c>
      <c r="B2" s="34" t="s">
        <v>121</v>
      </c>
    </row>
    <row r="3" spans="2:3" ht="15">
      <c r="B3" s="34" t="s">
        <v>110</v>
      </c>
      <c r="C3" s="34" t="s">
        <v>122</v>
      </c>
    </row>
    <row r="4" ht="15">
      <c r="C4" s="34" t="s">
        <v>111</v>
      </c>
    </row>
    <row r="5" spans="3:4" ht="15">
      <c r="C5" s="34" t="s">
        <v>110</v>
      </c>
      <c r="D5" s="34" t="s">
        <v>123</v>
      </c>
    </row>
    <row r="6" spans="4:5" ht="15">
      <c r="D6" s="34" t="s">
        <v>110</v>
      </c>
      <c r="E6" s="34" t="s">
        <v>124</v>
      </c>
    </row>
    <row r="7" ht="15">
      <c r="E7" s="34" t="s">
        <v>112</v>
      </c>
    </row>
    <row r="8" ht="15">
      <c r="E8" s="34" t="s">
        <v>111</v>
      </c>
    </row>
    <row r="9" spans="4:5" ht="15">
      <c r="D9" s="34" t="s">
        <v>110</v>
      </c>
      <c r="E9" s="34" t="s">
        <v>125</v>
      </c>
    </row>
    <row r="10" ht="15">
      <c r="E10" s="34" t="s">
        <v>113</v>
      </c>
    </row>
    <row r="11" ht="15">
      <c r="E11" s="34" t="s">
        <v>111</v>
      </c>
    </row>
    <row r="12" spans="2:3" ht="15">
      <c r="B12" s="34" t="s">
        <v>110</v>
      </c>
      <c r="C12" s="34" t="s">
        <v>122</v>
      </c>
    </row>
    <row r="13" spans="3:4" ht="15">
      <c r="C13" s="34" t="s">
        <v>110</v>
      </c>
      <c r="D13" s="34" t="s">
        <v>126</v>
      </c>
    </row>
    <row r="14" ht="15">
      <c r="D14" s="34" t="s">
        <v>118</v>
      </c>
    </row>
    <row r="15" ht="15">
      <c r="D15" s="34" t="s">
        <v>111</v>
      </c>
    </row>
    <row r="16" spans="3:4" ht="15">
      <c r="C16" s="34" t="s">
        <v>110</v>
      </c>
      <c r="D16" s="34" t="s">
        <v>123</v>
      </c>
    </row>
    <row r="17" spans="4:5" ht="15">
      <c r="D17" s="34" t="s">
        <v>110</v>
      </c>
      <c r="E17" s="34" t="s">
        <v>127</v>
      </c>
    </row>
    <row r="18" spans="5:6" ht="15">
      <c r="E18" s="34" t="s">
        <v>110</v>
      </c>
      <c r="F18" s="34" t="s">
        <v>124</v>
      </c>
    </row>
    <row r="19" ht="15">
      <c r="F19" s="34" t="s">
        <v>112</v>
      </c>
    </row>
    <row r="20" ht="15">
      <c r="F20" s="34" t="s">
        <v>111</v>
      </c>
    </row>
    <row r="21" spans="5:6" ht="15">
      <c r="E21" s="34" t="s">
        <v>110</v>
      </c>
      <c r="F21" s="34" t="s">
        <v>126</v>
      </c>
    </row>
    <row r="22" ht="15">
      <c r="F22" s="34" t="s">
        <v>118</v>
      </c>
    </row>
    <row r="23" ht="15">
      <c r="F23" s="34" t="s">
        <v>111</v>
      </c>
    </row>
    <row r="24" spans="4:5" ht="15">
      <c r="D24" s="34" t="s">
        <v>110</v>
      </c>
      <c r="E24" s="34" t="s">
        <v>128</v>
      </c>
    </row>
    <row r="25" spans="5:6" ht="15">
      <c r="E25" s="34" t="s">
        <v>110</v>
      </c>
      <c r="F25" s="34" t="s">
        <v>125</v>
      </c>
    </row>
    <row r="26" ht="15">
      <c r="F26" s="34" t="s">
        <v>114</v>
      </c>
    </row>
    <row r="27" ht="15">
      <c r="F27" s="34" t="s">
        <v>111</v>
      </c>
    </row>
    <row r="28" spans="5:6" ht="15">
      <c r="E28" s="34" t="s">
        <v>110</v>
      </c>
      <c r="F28" s="34" t="s">
        <v>126</v>
      </c>
    </row>
    <row r="29" ht="15">
      <c r="F29" s="34" t="s">
        <v>118</v>
      </c>
    </row>
    <row r="30" ht="15">
      <c r="F30" s="34" t="s">
        <v>111</v>
      </c>
    </row>
    <row r="31" ht="15">
      <c r="A31" s="34">
        <f>IF(armor1type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3</v>
      </c>
    </row>
    <row r="32" ht="15.75">
      <c r="A32" s="35" t="s">
        <v>119</v>
      </c>
    </row>
    <row r="33" spans="1:2" ht="15">
      <c r="A33" s="34" t="s">
        <v>110</v>
      </c>
      <c r="B33" s="34" t="s">
        <v>144</v>
      </c>
    </row>
    <row r="34" spans="2:3" ht="15">
      <c r="B34" s="34" t="s">
        <v>110</v>
      </c>
      <c r="C34" s="34" t="s">
        <v>145</v>
      </c>
    </row>
    <row r="35" spans="3:11" ht="15">
      <c r="C35" s="34" t="s">
        <v>110</v>
      </c>
      <c r="D35" s="34" t="s">
        <v>133</v>
      </c>
      <c r="G35" s="39"/>
      <c r="H35" s="39"/>
      <c r="I35" s="39"/>
      <c r="J35" s="39"/>
      <c r="K35" s="39"/>
    </row>
    <row r="36" spans="4:11" ht="15">
      <c r="D36" s="34" t="s">
        <v>134</v>
      </c>
      <c r="G36" s="39"/>
      <c r="H36" s="39"/>
      <c r="I36" s="39"/>
      <c r="J36" s="39"/>
      <c r="K36" s="39"/>
    </row>
    <row r="37" spans="4:11" ht="15">
      <c r="D37" s="34" t="s">
        <v>110</v>
      </c>
      <c r="E37" s="34" t="s">
        <v>135</v>
      </c>
      <c r="G37" s="39"/>
      <c r="H37" s="39"/>
      <c r="I37" s="39"/>
      <c r="J37" s="39"/>
      <c r="K37" s="39"/>
    </row>
    <row r="38" spans="5:11" ht="15">
      <c r="E38" s="34" t="s">
        <v>136</v>
      </c>
      <c r="G38" s="39"/>
      <c r="H38" s="39"/>
      <c r="I38" s="39"/>
      <c r="J38" s="39"/>
      <c r="K38" s="39"/>
    </row>
    <row r="39" spans="5:11" ht="15">
      <c r="E39" s="39" t="s">
        <v>137</v>
      </c>
      <c r="G39" s="39"/>
      <c r="H39" s="39"/>
      <c r="I39" s="39"/>
      <c r="J39" s="39"/>
      <c r="K39" s="39"/>
    </row>
    <row r="40" spans="3:11" ht="15">
      <c r="C40" s="34" t="s">
        <v>110</v>
      </c>
      <c r="D40" s="34" t="s">
        <v>133</v>
      </c>
      <c r="G40" s="39"/>
      <c r="H40" s="39"/>
      <c r="I40" s="39"/>
      <c r="J40" s="39"/>
      <c r="K40" s="39"/>
    </row>
    <row r="41" ht="15">
      <c r="D41" s="34" t="s">
        <v>138</v>
      </c>
    </row>
    <row r="42" spans="4:5" ht="15">
      <c r="D42" s="34" t="s">
        <v>110</v>
      </c>
      <c r="E42" s="34" t="s">
        <v>135</v>
      </c>
    </row>
    <row r="43" spans="5:6" ht="15">
      <c r="E43" s="34" t="s">
        <v>110</v>
      </c>
      <c r="F43" s="34" t="s">
        <v>139</v>
      </c>
    </row>
    <row r="44" ht="15">
      <c r="F44" s="34" t="s">
        <v>136</v>
      </c>
    </row>
    <row r="45" ht="15">
      <c r="F45" s="34" t="s">
        <v>146</v>
      </c>
    </row>
    <row r="46" spans="5:6" ht="15">
      <c r="E46" s="34" t="s">
        <v>110</v>
      </c>
      <c r="F46" s="34" t="s">
        <v>140</v>
      </c>
    </row>
    <row r="47" ht="15">
      <c r="F47" s="34" t="s">
        <v>132</v>
      </c>
    </row>
    <row r="48" ht="15">
      <c r="F48" s="34" t="s">
        <v>147</v>
      </c>
    </row>
    <row r="49" spans="2:3" ht="15">
      <c r="B49" s="34" t="s">
        <v>110</v>
      </c>
      <c r="C49" s="34" t="s">
        <v>133</v>
      </c>
    </row>
    <row r="50" ht="15">
      <c r="C50" s="34" t="s">
        <v>141</v>
      </c>
    </row>
    <row r="51" spans="3:4" ht="15">
      <c r="C51" s="34" t="s">
        <v>110</v>
      </c>
      <c r="D51" s="34" t="s">
        <v>135</v>
      </c>
    </row>
    <row r="52" spans="4:5" ht="15">
      <c r="D52" s="34" t="s">
        <v>110</v>
      </c>
      <c r="E52" s="34" t="s">
        <v>142</v>
      </c>
    </row>
    <row r="53" ht="15">
      <c r="E53" s="34" t="s">
        <v>149</v>
      </c>
    </row>
    <row r="54" ht="15">
      <c r="E54" s="34" t="s">
        <v>148</v>
      </c>
    </row>
    <row r="55" spans="4:5" ht="15">
      <c r="D55" s="34" t="s">
        <v>110</v>
      </c>
      <c r="E55" s="34" t="s">
        <v>143</v>
      </c>
    </row>
    <row r="56" ht="15">
      <c r="E56" s="34" t="s">
        <v>151</v>
      </c>
    </row>
    <row r="57" ht="15">
      <c r="E57" s="34" t="s">
        <v>150</v>
      </c>
    </row>
    <row r="58" ht="15">
      <c r="A58" s="34" t="e">
        <f>IF(armor1type=N,IF(armor2type=N,IF(totalweight&lt;Lightweight,0,IF(totalweight&lt;Mediumweight,mediumcheckpen,heavycheckpen)),IF(totalweight&lt;Lightweight,Armor2checkpen,IF(totalweight&lt;Mediumweight,IF(mediumcheckpen&lt;Armor2checkpen,Armor2checkpen,mediumcheckpen),IF(heavycheckpen&lt;Armor2checkpen,Armor2checkpen,heavycheckpen)))),IF(totalweight&lt;Lightweight,(Armor1checkpen+Armor2checkpen),IF(totalweight&lt;Mediumweight,IF(mediumcheckpen&lt;(Armor1checkpen+Armor2checkpen),(Armor1checkpen+Armor2checkpen),mediumcheckpen),IF(heavycheckpen&lt;(Armor1checkpen+Armor2checkpen),(Armor1checkpen+Armor2checkpen),heavycheckpen))))</f>
        <v>#NAME?</v>
      </c>
    </row>
    <row r="64" ht="15">
      <c r="B64" s="34" t="s">
        <v>131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zoomScale="75" zoomScaleNormal="75" workbookViewId="0" topLeftCell="A13">
      <selection activeCell="V37" sqref="V37"/>
    </sheetView>
  </sheetViews>
  <sheetFormatPr defaultColWidth="8.796875" defaultRowHeight="15.75"/>
  <cols>
    <col min="1" max="1" width="1.203125" style="0" customWidth="1"/>
    <col min="2" max="5" width="4.8984375" style="0" customWidth="1"/>
    <col min="6" max="6" width="5.19921875" style="0" customWidth="1"/>
    <col min="7" max="27" width="4.8984375" style="0" customWidth="1"/>
    <col min="28" max="28" width="1.1015625" style="0" customWidth="1"/>
    <col min="29" max="29" width="1" style="0" customWidth="1"/>
    <col min="30" max="30" width="1.203125" style="0" customWidth="1"/>
    <col min="31" max="34" width="4.8984375" style="0" customWidth="1"/>
    <col min="35" max="35" width="5.19921875" style="0" customWidth="1"/>
    <col min="36" max="56" width="4.8984375" style="0" customWidth="1"/>
    <col min="57" max="57" width="1.59765625" style="0" customWidth="1"/>
  </cols>
  <sheetData>
    <row r="1" spans="1:57" ht="18" customHeight="1">
      <c r="A1" s="210"/>
      <c r="B1" s="369" t="s">
        <v>195</v>
      </c>
      <c r="C1" s="369"/>
      <c r="D1" s="369"/>
      <c r="E1" s="369"/>
      <c r="F1" s="369"/>
      <c r="G1" s="369"/>
      <c r="H1" s="369" t="s">
        <v>225</v>
      </c>
      <c r="I1" s="370"/>
      <c r="J1" s="370"/>
      <c r="K1" s="370"/>
      <c r="L1" s="371" t="s">
        <v>228</v>
      </c>
      <c r="M1" s="370"/>
      <c r="N1" s="370"/>
      <c r="O1" s="370"/>
      <c r="P1" s="370"/>
      <c r="Q1" s="370"/>
      <c r="R1" s="370"/>
      <c r="S1" s="370"/>
      <c r="T1" s="370"/>
      <c r="U1" s="370" t="s">
        <v>190</v>
      </c>
      <c r="V1" s="370"/>
      <c r="W1" s="370"/>
      <c r="X1" s="18"/>
      <c r="Y1" s="18"/>
      <c r="Z1" s="18"/>
      <c r="AA1" s="18"/>
      <c r="AB1" s="370"/>
      <c r="AC1" s="18"/>
      <c r="AD1" s="412"/>
      <c r="AE1" s="372" t="s">
        <v>195</v>
      </c>
      <c r="AF1" s="372"/>
      <c r="AG1" s="372"/>
      <c r="AH1" s="372"/>
      <c r="AI1" s="372"/>
      <c r="AJ1" s="372"/>
      <c r="AK1" s="372" t="s">
        <v>256</v>
      </c>
      <c r="AL1" s="373"/>
      <c r="AM1" s="373"/>
      <c r="AN1" s="373"/>
      <c r="AO1" s="374" t="s">
        <v>228</v>
      </c>
      <c r="AP1" s="373"/>
      <c r="AQ1" s="373"/>
      <c r="AR1" s="373"/>
      <c r="AS1" s="373"/>
      <c r="AT1" s="373"/>
      <c r="AU1" s="373"/>
      <c r="AV1" s="373"/>
      <c r="AW1" s="373"/>
      <c r="AX1" s="373" t="s">
        <v>190</v>
      </c>
      <c r="AY1" s="373"/>
      <c r="AZ1" s="373"/>
      <c r="BA1" s="18"/>
      <c r="BB1" s="18"/>
      <c r="BC1" s="18"/>
      <c r="BD1" s="18"/>
      <c r="BE1" s="412"/>
    </row>
    <row r="2" spans="1:57" ht="7.5" customHeight="1">
      <c r="A2" s="210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"/>
      <c r="V2" s="18"/>
      <c r="W2" s="18"/>
      <c r="X2" s="18"/>
      <c r="Y2" s="18"/>
      <c r="Z2" s="18"/>
      <c r="AA2" s="18"/>
      <c r="AB2" s="370"/>
      <c r="AC2" s="18"/>
      <c r="AD2" s="412"/>
      <c r="AE2" s="18"/>
      <c r="AF2" s="18"/>
      <c r="AG2" s="18"/>
      <c r="AH2" s="18"/>
      <c r="AI2" s="18"/>
      <c r="AJ2" s="1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8"/>
      <c r="AY2" s="18"/>
      <c r="AZ2" s="18"/>
      <c r="BA2" s="18"/>
      <c r="BB2" s="18"/>
      <c r="BC2" s="18"/>
      <c r="BD2" s="18"/>
      <c r="BE2" s="412"/>
    </row>
    <row r="3" spans="1:57" ht="20.25">
      <c r="A3" s="210"/>
      <c r="B3" s="52" t="s">
        <v>229</v>
      </c>
      <c r="C3" s="13"/>
      <c r="D3" s="140" t="s">
        <v>192</v>
      </c>
      <c r="E3" s="13"/>
      <c r="F3" s="13"/>
      <c r="G3" s="13"/>
      <c r="H3" s="14"/>
      <c r="I3" s="1"/>
      <c r="J3" s="55" t="s">
        <v>171</v>
      </c>
      <c r="K3" s="20"/>
      <c r="L3" s="476" t="s">
        <v>0</v>
      </c>
      <c r="M3" s="477"/>
      <c r="N3" s="1"/>
      <c r="O3" s="52" t="s">
        <v>73</v>
      </c>
      <c r="P3" s="482">
        <f>Hovedark!$O$3</f>
        <v>7515</v>
      </c>
      <c r="Q3" s="483"/>
      <c r="R3" s="13"/>
      <c r="S3" s="147" t="s">
        <v>74</v>
      </c>
      <c r="T3" s="13"/>
      <c r="U3" s="13"/>
      <c r="V3" s="483">
        <f>Hovedark!$U$3</f>
        <v>6000</v>
      </c>
      <c r="W3" s="484"/>
      <c r="X3" s="22"/>
      <c r="Y3" s="22"/>
      <c r="Z3" s="22"/>
      <c r="AA3" s="22"/>
      <c r="AB3" s="414"/>
      <c r="AC3" s="22"/>
      <c r="AD3" s="412"/>
      <c r="AE3" s="52" t="s">
        <v>229</v>
      </c>
      <c r="AF3" s="13"/>
      <c r="AG3" s="140" t="s">
        <v>192</v>
      </c>
      <c r="AH3" s="13"/>
      <c r="AI3" s="13"/>
      <c r="AJ3" s="13"/>
      <c r="AK3" s="14"/>
      <c r="AL3" s="1"/>
      <c r="AM3" s="55" t="s">
        <v>171</v>
      </c>
      <c r="AN3" s="20"/>
      <c r="AO3" s="476" t="s">
        <v>0</v>
      </c>
      <c r="AP3" s="477"/>
      <c r="AQ3" s="1"/>
      <c r="AR3" s="52" t="s">
        <v>73</v>
      </c>
      <c r="AS3" s="482">
        <f>Hovedark!$O$3</f>
        <v>7515</v>
      </c>
      <c r="AT3" s="483"/>
      <c r="AU3" s="13"/>
      <c r="AV3" s="147" t="s">
        <v>74</v>
      </c>
      <c r="AW3" s="13"/>
      <c r="AX3" s="13"/>
      <c r="AY3" s="483">
        <f>Hovedark!$U$3</f>
        <v>6000</v>
      </c>
      <c r="AZ3" s="484"/>
      <c r="BA3" s="22"/>
      <c r="BB3" s="22"/>
      <c r="BC3" s="22"/>
      <c r="BD3" s="22"/>
      <c r="BE3" s="412"/>
    </row>
    <row r="4" spans="1:57" ht="4.5" customHeight="1">
      <c r="A4" s="210"/>
      <c r="B4" s="1"/>
      <c r="C4" s="1"/>
      <c r="D4" s="1"/>
      <c r="E4" s="1"/>
      <c r="F4" s="1"/>
      <c r="G4" s="1"/>
      <c r="H4" s="1"/>
      <c r="I4" s="1"/>
      <c r="J4" s="15"/>
      <c r="K4" s="1"/>
      <c r="L4" s="1"/>
      <c r="M4" s="2"/>
      <c r="N4" s="1"/>
      <c r="O4" s="9"/>
      <c r="P4" s="9"/>
      <c r="Q4" s="9"/>
      <c r="R4" s="9"/>
      <c r="S4" s="9"/>
      <c r="T4" s="18"/>
      <c r="U4" s="22"/>
      <c r="V4" s="22"/>
      <c r="W4" s="22"/>
      <c r="X4" s="1"/>
      <c r="Y4" s="1"/>
      <c r="Z4" s="1"/>
      <c r="AA4" s="1"/>
      <c r="AB4" s="414"/>
      <c r="AC4" s="1"/>
      <c r="AD4" s="412"/>
      <c r="AE4" s="1"/>
      <c r="AF4" s="1"/>
      <c r="AG4" s="1"/>
      <c r="AH4" s="1"/>
      <c r="AI4" s="1"/>
      <c r="AJ4" s="1"/>
      <c r="AK4" s="1"/>
      <c r="AL4" s="1"/>
      <c r="AM4" s="15"/>
      <c r="AN4" s="1"/>
      <c r="AO4" s="1"/>
      <c r="AP4" s="2"/>
      <c r="AQ4" s="1"/>
      <c r="AR4" s="9"/>
      <c r="AS4" s="9"/>
      <c r="AT4" s="9"/>
      <c r="AU4" s="9"/>
      <c r="AV4" s="9"/>
      <c r="AW4" s="18"/>
      <c r="AX4" s="22"/>
      <c r="AY4" s="22"/>
      <c r="AZ4" s="22"/>
      <c r="BA4" s="1"/>
      <c r="BB4" s="1"/>
      <c r="BC4" s="1"/>
      <c r="BD4" s="1"/>
      <c r="BE4" s="412"/>
    </row>
    <row r="5" spans="1:57" ht="15.75">
      <c r="A5" s="210"/>
      <c r="B5" s="52" t="s">
        <v>169</v>
      </c>
      <c r="C5" s="38"/>
      <c r="D5" s="139" t="s">
        <v>191</v>
      </c>
      <c r="E5" s="38"/>
      <c r="F5" s="38"/>
      <c r="G5" s="38"/>
      <c r="H5" s="56"/>
      <c r="I5" s="22"/>
      <c r="J5" s="152" t="s">
        <v>210</v>
      </c>
      <c r="K5" s="1"/>
      <c r="L5" s="478">
        <f>Class1_lvl</f>
        <v>4</v>
      </c>
      <c r="M5" s="479"/>
      <c r="N5" s="135"/>
      <c r="O5" s="52" t="s">
        <v>170</v>
      </c>
      <c r="P5" s="13"/>
      <c r="Q5" s="13"/>
      <c r="R5" s="13"/>
      <c r="S5" s="146">
        <f>+Class1_lvl+Class2_lvl</f>
        <v>4</v>
      </c>
      <c r="T5" s="13"/>
      <c r="U5" s="38"/>
      <c r="V5" s="13"/>
      <c r="W5" s="14"/>
      <c r="X5" s="22"/>
      <c r="Y5" s="22"/>
      <c r="Z5" s="22"/>
      <c r="AA5" s="22"/>
      <c r="AB5" s="414"/>
      <c r="AC5" s="22"/>
      <c r="AD5" s="412"/>
      <c r="AE5" s="52" t="s">
        <v>169</v>
      </c>
      <c r="AF5" s="38"/>
      <c r="AG5" s="139" t="s">
        <v>191</v>
      </c>
      <c r="AH5" s="38"/>
      <c r="AI5" s="38"/>
      <c r="AJ5" s="38"/>
      <c r="AK5" s="56"/>
      <c r="AL5" s="22"/>
      <c r="AM5" s="152" t="s">
        <v>210</v>
      </c>
      <c r="AN5" s="1"/>
      <c r="AO5" s="478">
        <f>Class1_lvl</f>
        <v>4</v>
      </c>
      <c r="AP5" s="479"/>
      <c r="AQ5" s="135"/>
      <c r="AR5" s="52" t="s">
        <v>170</v>
      </c>
      <c r="AS5" s="13"/>
      <c r="AT5" s="13"/>
      <c r="AU5" s="13"/>
      <c r="AV5" s="146">
        <f>+Class1_lvl+Class2_lvl</f>
        <v>4</v>
      </c>
      <c r="AW5" s="13"/>
      <c r="AX5" s="38"/>
      <c r="AY5" s="13"/>
      <c r="AZ5" s="14"/>
      <c r="BA5" s="22"/>
      <c r="BB5" s="22"/>
      <c r="BC5" s="22"/>
      <c r="BD5" s="22"/>
      <c r="BE5" s="412"/>
    </row>
    <row r="6" spans="1:57" ht="6" customHeight="1">
      <c r="A6" s="210"/>
      <c r="B6" s="22"/>
      <c r="C6" s="17"/>
      <c r="D6" s="22"/>
      <c r="E6" s="17"/>
      <c r="F6" s="17"/>
      <c r="G6" s="22"/>
      <c r="H6" s="22"/>
      <c r="I6" s="22"/>
      <c r="J6" s="51"/>
      <c r="K6" s="22"/>
      <c r="L6" s="22"/>
      <c r="M6" s="36"/>
      <c r="N6" s="22"/>
      <c r="O6" s="18"/>
      <c r="P6" s="18"/>
      <c r="Q6" s="18"/>
      <c r="R6" s="40"/>
      <c r="S6" s="40"/>
      <c r="T6" s="40"/>
      <c r="U6" s="22"/>
      <c r="V6" s="22"/>
      <c r="W6" s="22"/>
      <c r="X6" s="22"/>
      <c r="Y6" s="22"/>
      <c r="Z6" s="22"/>
      <c r="AA6" s="22"/>
      <c r="AB6" s="414"/>
      <c r="AC6" s="22"/>
      <c r="AD6" s="412"/>
      <c r="AE6" s="22"/>
      <c r="AF6" s="17"/>
      <c r="AG6" s="22"/>
      <c r="AH6" s="17"/>
      <c r="AI6" s="17"/>
      <c r="AJ6" s="22"/>
      <c r="AK6" s="22"/>
      <c r="AL6" s="22"/>
      <c r="AM6" s="51"/>
      <c r="AN6" s="22"/>
      <c r="AO6" s="22"/>
      <c r="AP6" s="36"/>
      <c r="AQ6" s="22"/>
      <c r="AR6" s="18"/>
      <c r="AS6" s="18"/>
      <c r="AT6" s="18"/>
      <c r="AU6" s="40"/>
      <c r="AV6" s="40"/>
      <c r="AW6" s="40"/>
      <c r="AX6" s="22"/>
      <c r="AY6" s="22"/>
      <c r="AZ6" s="22"/>
      <c r="BA6" s="22"/>
      <c r="BB6" s="22"/>
      <c r="BC6" s="22"/>
      <c r="BD6" s="22"/>
      <c r="BE6" s="412"/>
    </row>
    <row r="7" spans="1:57" ht="15.75">
      <c r="A7" s="210"/>
      <c r="B7" s="52" t="s">
        <v>75</v>
      </c>
      <c r="C7" s="38"/>
      <c r="D7" s="238" t="str">
        <f>Hovedark!$C$7</f>
        <v>Flamsk, Dwarf, Ol</v>
      </c>
      <c r="E7" s="239"/>
      <c r="F7" s="239"/>
      <c r="G7" s="239"/>
      <c r="H7" s="150"/>
      <c r="I7" s="22"/>
      <c r="J7" s="148"/>
      <c r="K7" s="24"/>
      <c r="L7" s="480"/>
      <c r="M7" s="481"/>
      <c r="N7" s="22"/>
      <c r="O7" s="52" t="s">
        <v>161</v>
      </c>
      <c r="P7" s="38"/>
      <c r="Q7" s="165"/>
      <c r="R7" s="38"/>
      <c r="S7" s="50"/>
      <c r="T7" s="50"/>
      <c r="U7" s="50" t="str">
        <f>Hovedark!$T$7</f>
        <v>opdateret</v>
      </c>
      <c r="V7" s="441" t="str">
        <f>Hovedark!$U$7</f>
        <v>02.10.08</v>
      </c>
      <c r="W7" s="47"/>
      <c r="X7" s="22"/>
      <c r="Y7" s="22"/>
      <c r="Z7" s="22"/>
      <c r="AA7" s="22"/>
      <c r="AB7" s="414"/>
      <c r="AC7" s="22"/>
      <c r="AD7" s="412"/>
      <c r="AE7" s="52" t="s">
        <v>75</v>
      </c>
      <c r="AF7" s="38"/>
      <c r="AG7" s="238" t="str">
        <f>Hovedark!$C$7</f>
        <v>Flamsk, Dwarf, Ol</v>
      </c>
      <c r="AH7" s="239"/>
      <c r="AI7" s="239"/>
      <c r="AJ7" s="239"/>
      <c r="AK7" s="150"/>
      <c r="AL7" s="22"/>
      <c r="AM7" s="148"/>
      <c r="AN7" s="24"/>
      <c r="AO7" s="480"/>
      <c r="AP7" s="481"/>
      <c r="AQ7" s="22"/>
      <c r="AR7" s="52" t="s">
        <v>161</v>
      </c>
      <c r="AS7" s="38"/>
      <c r="AT7" s="165"/>
      <c r="AU7" s="38"/>
      <c r="AV7" s="50"/>
      <c r="AW7" s="50"/>
      <c r="AX7" s="50" t="str">
        <f>Hovedark!$T$7</f>
        <v>opdateret</v>
      </c>
      <c r="AY7" s="441" t="str">
        <f>Hovedark!$U$7</f>
        <v>02.10.08</v>
      </c>
      <c r="AZ7" s="47"/>
      <c r="BA7" s="22"/>
      <c r="BB7" s="22"/>
      <c r="BC7" s="22"/>
      <c r="BD7" s="22"/>
      <c r="BE7" s="412"/>
    </row>
    <row r="8" spans="1:57" ht="18.75" customHeight="1">
      <c r="A8" s="21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2"/>
      <c r="X8" s="22"/>
      <c r="Y8" s="22"/>
      <c r="Z8" s="22"/>
      <c r="AA8" s="22"/>
      <c r="AB8" s="414"/>
      <c r="AC8" s="22"/>
      <c r="AD8" s="412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22"/>
      <c r="BA8" s="22"/>
      <c r="BB8" s="22"/>
      <c r="BC8" s="22"/>
      <c r="BD8" s="22"/>
      <c r="BE8" s="412"/>
    </row>
    <row r="9" spans="1:57" ht="18.75" customHeight="1">
      <c r="A9" s="210"/>
      <c r="B9" s="18"/>
      <c r="C9" s="18"/>
      <c r="D9" s="18"/>
      <c r="E9" s="18"/>
      <c r="F9" s="22"/>
      <c r="G9" s="22"/>
      <c r="H9" s="22"/>
      <c r="I9" s="22"/>
      <c r="J9" s="22"/>
      <c r="K9" s="22"/>
      <c r="L9" s="22"/>
      <c r="M9" s="22"/>
      <c r="N9" s="22"/>
      <c r="O9" s="22"/>
      <c r="P9" s="18"/>
      <c r="Q9" s="18"/>
      <c r="R9" s="18"/>
      <c r="S9" s="18"/>
      <c r="T9" s="18"/>
      <c r="U9" s="18"/>
      <c r="V9" s="18"/>
      <c r="W9" s="22"/>
      <c r="X9" s="22"/>
      <c r="Y9" s="22"/>
      <c r="Z9" s="22">
        <v>-2</v>
      </c>
      <c r="AA9" s="22"/>
      <c r="AB9" s="414"/>
      <c r="AC9" s="22"/>
      <c r="AD9" s="412"/>
      <c r="AE9" s="18"/>
      <c r="AF9" s="18"/>
      <c r="AG9" s="18"/>
      <c r="AH9" s="18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18"/>
      <c r="AT9" s="18"/>
      <c r="AU9" s="18"/>
      <c r="AV9" s="18"/>
      <c r="AW9" s="18"/>
      <c r="AX9" s="18"/>
      <c r="AY9" s="18"/>
      <c r="AZ9" s="22"/>
      <c r="BA9" s="22"/>
      <c r="BB9" s="22"/>
      <c r="BC9" s="22"/>
      <c r="BD9" s="22"/>
      <c r="BE9" s="412"/>
    </row>
    <row r="10" spans="1:57" ht="18.75" customHeight="1" thickBot="1">
      <c r="A10" s="210"/>
      <c r="B10" s="80" t="s">
        <v>2</v>
      </c>
      <c r="C10" s="81" t="s">
        <v>3</v>
      </c>
      <c r="D10" s="81" t="s">
        <v>5</v>
      </c>
      <c r="E10" s="82" t="s">
        <v>6</v>
      </c>
      <c r="F10" s="22"/>
      <c r="G10" s="41"/>
      <c r="H10" s="21"/>
      <c r="I10" s="83" t="s">
        <v>4</v>
      </c>
      <c r="J10" s="110" t="s">
        <v>162</v>
      </c>
      <c r="K10" s="81" t="s">
        <v>6</v>
      </c>
      <c r="L10" s="82" t="s">
        <v>15</v>
      </c>
      <c r="M10" s="18"/>
      <c r="N10" s="84" t="s">
        <v>14</v>
      </c>
      <c r="O10" s="28"/>
      <c r="P10" s="85" t="s">
        <v>4</v>
      </c>
      <c r="Q10" s="81" t="s">
        <v>1</v>
      </c>
      <c r="R10" s="81" t="s">
        <v>6</v>
      </c>
      <c r="S10" s="82" t="s">
        <v>15</v>
      </c>
      <c r="T10" s="18"/>
      <c r="U10" s="41"/>
      <c r="V10" s="21"/>
      <c r="W10" s="86" t="s">
        <v>16</v>
      </c>
      <c r="X10" s="81" t="s">
        <v>1</v>
      </c>
      <c r="Y10" s="81" t="s">
        <v>6</v>
      </c>
      <c r="Z10" s="81" t="s">
        <v>159</v>
      </c>
      <c r="AA10" s="82" t="s">
        <v>160</v>
      </c>
      <c r="AB10" s="415"/>
      <c r="AC10" s="79"/>
      <c r="AD10" s="412"/>
      <c r="AE10" s="80" t="s">
        <v>2</v>
      </c>
      <c r="AF10" s="81" t="s">
        <v>3</v>
      </c>
      <c r="AG10" s="81" t="s">
        <v>5</v>
      </c>
      <c r="AH10" s="82" t="s">
        <v>6</v>
      </c>
      <c r="AI10" s="22"/>
      <c r="AJ10" s="41"/>
      <c r="AK10" s="21"/>
      <c r="AL10" s="83" t="s">
        <v>4</v>
      </c>
      <c r="AM10" s="110" t="s">
        <v>162</v>
      </c>
      <c r="AN10" s="81" t="s">
        <v>6</v>
      </c>
      <c r="AO10" s="82" t="s">
        <v>15</v>
      </c>
      <c r="AP10" s="18"/>
      <c r="AQ10" s="84" t="s">
        <v>14</v>
      </c>
      <c r="AR10" s="28"/>
      <c r="AS10" s="85" t="s">
        <v>4</v>
      </c>
      <c r="AT10" s="81" t="s">
        <v>1</v>
      </c>
      <c r="AU10" s="81" t="s">
        <v>6</v>
      </c>
      <c r="AV10" s="82" t="s">
        <v>15</v>
      </c>
      <c r="AW10" s="18"/>
      <c r="AX10" s="41"/>
      <c r="AY10" s="21"/>
      <c r="AZ10" s="86" t="s">
        <v>16</v>
      </c>
      <c r="BA10" s="81" t="s">
        <v>1</v>
      </c>
      <c r="BB10" s="81" t="s">
        <v>6</v>
      </c>
      <c r="BC10" s="81" t="s">
        <v>159</v>
      </c>
      <c r="BD10" s="82" t="s">
        <v>160</v>
      </c>
      <c r="BE10" s="412"/>
    </row>
    <row r="11" spans="1:57" ht="18.75" customHeight="1" thickBot="1">
      <c r="A11" s="210"/>
      <c r="B11" s="53" t="s">
        <v>7</v>
      </c>
      <c r="C11" s="321">
        <f>str+4</f>
        <v>25</v>
      </c>
      <c r="D11" s="59"/>
      <c r="E11" s="322">
        <f>IF(strR&lt;10,ROUNDUP((strR-10)/2,0),ROUNDDOWN((strR-10)/2,0))</f>
        <v>7</v>
      </c>
      <c r="F11" s="22"/>
      <c r="G11" s="53" t="s">
        <v>209</v>
      </c>
      <c r="H11" s="22"/>
      <c r="I11" s="111">
        <f>J11+K11+L11</f>
        <v>11</v>
      </c>
      <c r="J11" s="59">
        <f>Hovedark!I11</f>
        <v>4</v>
      </c>
      <c r="K11" s="59">
        <f>strRmod</f>
        <v>7</v>
      </c>
      <c r="L11" s="60"/>
      <c r="M11" s="18"/>
      <c r="N11" s="53" t="s">
        <v>13</v>
      </c>
      <c r="O11" s="22"/>
      <c r="P11" s="111">
        <f>Q11+R11+S11</f>
        <v>4</v>
      </c>
      <c r="Q11" s="59">
        <f>Hovedark!$P$11</f>
        <v>1</v>
      </c>
      <c r="R11" s="59">
        <f>dexmod</f>
        <v>3</v>
      </c>
      <c r="S11" s="60"/>
      <c r="T11" s="18"/>
      <c r="U11" s="53" t="s">
        <v>156</v>
      </c>
      <c r="V11" s="22"/>
      <c r="W11" s="324">
        <f>X11+Y11+Z11+AA11+rageAC</f>
        <v>17</v>
      </c>
      <c r="X11" s="59">
        <v>10</v>
      </c>
      <c r="Y11" s="59">
        <f>Hovedark!$X$11</f>
        <v>3</v>
      </c>
      <c r="Z11" s="59">
        <f>Hovedark!$Y$11</f>
        <v>1</v>
      </c>
      <c r="AA11" s="60">
        <f>Hovedark!$Z$11</f>
        <v>5</v>
      </c>
      <c r="AB11" s="416"/>
      <c r="AC11" s="59"/>
      <c r="AD11" s="412"/>
      <c r="AE11" s="53" t="s">
        <v>7</v>
      </c>
      <c r="AF11" s="376">
        <f>str-2</f>
        <v>19</v>
      </c>
      <c r="AG11" s="59"/>
      <c r="AH11" s="377">
        <f>IF(strF&lt;10,ROUNDUP((strF-10)/2,0),ROUNDDOWN((strF-10)/2,0))</f>
        <v>4</v>
      </c>
      <c r="AI11" s="22"/>
      <c r="AJ11" s="53" t="s">
        <v>209</v>
      </c>
      <c r="AK11" s="22"/>
      <c r="AL11" s="377">
        <f>AM11+AN11+AO11</f>
        <v>8</v>
      </c>
      <c r="AM11" s="59">
        <f>Hovedark!I11</f>
        <v>4</v>
      </c>
      <c r="AN11" s="59">
        <f>strFmod</f>
        <v>4</v>
      </c>
      <c r="AO11" s="60"/>
      <c r="AP11" s="18"/>
      <c r="AQ11" s="53" t="s">
        <v>13</v>
      </c>
      <c r="AR11" s="22"/>
      <c r="AS11" s="377">
        <f>AT11+AU11+AV11</f>
        <v>3</v>
      </c>
      <c r="AT11" s="59">
        <f>Hovedark!$P$11</f>
        <v>1</v>
      </c>
      <c r="AU11" s="376">
        <f>dexFmod</f>
        <v>2</v>
      </c>
      <c r="AV11" s="60"/>
      <c r="AW11" s="18"/>
      <c r="AX11" s="53" t="s">
        <v>156</v>
      </c>
      <c r="AY11" s="22"/>
      <c r="AZ11" s="405">
        <f>BA11+BB11+BC11+BD11</f>
        <v>18</v>
      </c>
      <c r="BA11" s="59">
        <v>10</v>
      </c>
      <c r="BB11" s="59">
        <f>dexFmod</f>
        <v>2</v>
      </c>
      <c r="BC11" s="59">
        <f>Hovedark!$Y$11</f>
        <v>1</v>
      </c>
      <c r="BD11" s="60">
        <f>Hovedark!$Z$11</f>
        <v>5</v>
      </c>
      <c r="BE11" s="412"/>
    </row>
    <row r="12" spans="1:57" ht="18.75" customHeight="1" thickBot="1">
      <c r="A12" s="210"/>
      <c r="B12" s="53" t="s">
        <v>8</v>
      </c>
      <c r="C12" s="135">
        <f>dex</f>
        <v>16</v>
      </c>
      <c r="D12" s="59"/>
      <c r="E12" s="133">
        <f>IF(dexR&lt;10,ROUNDUP((dexR-10)/2,0),ROUNDDOWN((dexR-10)/2,0))</f>
        <v>3</v>
      </c>
      <c r="F12" s="18"/>
      <c r="G12" s="53" t="s">
        <v>20</v>
      </c>
      <c r="H12" s="22"/>
      <c r="I12" s="111">
        <f>J12+K12+L12</f>
        <v>7</v>
      </c>
      <c r="J12" s="59">
        <f>Hovedark!I12</f>
        <v>4</v>
      </c>
      <c r="K12" s="59">
        <f>dexRmod</f>
        <v>3</v>
      </c>
      <c r="L12" s="60"/>
      <c r="M12" s="18"/>
      <c r="N12" s="53" t="s">
        <v>215</v>
      </c>
      <c r="O12" s="22"/>
      <c r="P12" s="325">
        <f>Q12+R12+S12</f>
        <v>7</v>
      </c>
      <c r="Q12" s="59">
        <f>Hovedark!$P$12</f>
        <v>3</v>
      </c>
      <c r="R12" s="59">
        <f>conRmod</f>
        <v>4</v>
      </c>
      <c r="S12" s="60"/>
      <c r="T12" s="18"/>
      <c r="U12" s="132" t="s">
        <v>157</v>
      </c>
      <c r="V12" s="168"/>
      <c r="W12" s="322">
        <f>SUM(X12:AA12)+rageAC</f>
        <v>14</v>
      </c>
      <c r="X12" s="59">
        <f>X11</f>
        <v>10</v>
      </c>
      <c r="Y12" s="87"/>
      <c r="Z12" s="59">
        <f>Hovedark!$Y$12</f>
        <v>1</v>
      </c>
      <c r="AA12" s="60">
        <f>Hovedark!$Z$12</f>
        <v>5</v>
      </c>
      <c r="AB12" s="416"/>
      <c r="AC12" s="59"/>
      <c r="AD12" s="412"/>
      <c r="AE12" s="53" t="s">
        <v>8</v>
      </c>
      <c r="AF12" s="376">
        <f>dex-2</f>
        <v>14</v>
      </c>
      <c r="AG12" s="59"/>
      <c r="AH12" s="377">
        <f>IF(dexF&lt;10,ROUNDUP((dexF-10)/2,0),ROUNDDOWN((dexF-10)/2,0))</f>
        <v>2</v>
      </c>
      <c r="AI12" s="18"/>
      <c r="AJ12" s="53" t="s">
        <v>20</v>
      </c>
      <c r="AK12" s="22"/>
      <c r="AL12" s="377">
        <f>AM12+AN12+AO12</f>
        <v>6</v>
      </c>
      <c r="AM12" s="59">
        <f>Hovedark!I12</f>
        <v>4</v>
      </c>
      <c r="AN12" s="59">
        <f>dexFmod</f>
        <v>2</v>
      </c>
      <c r="AO12" s="60"/>
      <c r="AP12" s="18"/>
      <c r="AQ12" s="53" t="s">
        <v>215</v>
      </c>
      <c r="AR12" s="22"/>
      <c r="AS12" s="111">
        <f>AT12+AU12+AV12</f>
        <v>5</v>
      </c>
      <c r="AT12" s="59">
        <f>Hovedark!$P$12</f>
        <v>3</v>
      </c>
      <c r="AU12" s="59">
        <f>conmod</f>
        <v>2</v>
      </c>
      <c r="AV12" s="60"/>
      <c r="AW12" s="18"/>
      <c r="AX12" s="132" t="s">
        <v>157</v>
      </c>
      <c r="AY12" s="168"/>
      <c r="AZ12" s="377">
        <f>SUM(BA12:BD12)+FatigueAC</f>
        <v>16</v>
      </c>
      <c r="BA12" s="59">
        <f>BA11</f>
        <v>10</v>
      </c>
      <c r="BB12" s="87"/>
      <c r="BC12" s="59">
        <f>Hovedark!$Y$12</f>
        <v>1</v>
      </c>
      <c r="BD12" s="60">
        <f>Hovedark!$Z$12</f>
        <v>5</v>
      </c>
      <c r="BE12" s="412"/>
    </row>
    <row r="13" spans="1:61" ht="18.75" customHeight="1" thickBot="1">
      <c r="A13" s="210"/>
      <c r="B13" s="53" t="s">
        <v>9</v>
      </c>
      <c r="C13" s="321">
        <f>con+4</f>
        <v>18</v>
      </c>
      <c r="D13" s="59"/>
      <c r="E13" s="322">
        <f>IF(conR&lt;10,ROUNDUP((conR-10)/2,0),ROUNDDOWN((conR-10)/2,0))</f>
        <v>4</v>
      </c>
      <c r="F13" s="22"/>
      <c r="G13" s="16" t="s">
        <v>233</v>
      </c>
      <c r="H13" s="24"/>
      <c r="I13" s="112">
        <f>J13+K13+L13</f>
        <v>11</v>
      </c>
      <c r="J13" s="137">
        <f>J11</f>
        <v>4</v>
      </c>
      <c r="K13" s="137">
        <f>K11</f>
        <v>7</v>
      </c>
      <c r="L13" s="138"/>
      <c r="M13" s="18"/>
      <c r="N13" s="54" t="s">
        <v>214</v>
      </c>
      <c r="O13" s="24"/>
      <c r="P13" s="322">
        <f>Q13+R13+S13</f>
        <v>4</v>
      </c>
      <c r="Q13" s="137">
        <f>Hovedark!$P$13</f>
        <v>1</v>
      </c>
      <c r="R13" s="137">
        <f>wismod</f>
        <v>1</v>
      </c>
      <c r="S13" s="326">
        <v>2</v>
      </c>
      <c r="T13" s="18"/>
      <c r="U13" s="53" t="s">
        <v>158</v>
      </c>
      <c r="V13" s="22"/>
      <c r="W13" s="322">
        <f>SUM(X13:AA13)+rageAC</f>
        <v>12</v>
      </c>
      <c r="X13" s="59">
        <f>X11</f>
        <v>10</v>
      </c>
      <c r="Y13" s="59">
        <f>Hovedark!$X$13</f>
        <v>3</v>
      </c>
      <c r="Z13" s="59">
        <f>Hovedark!$Y$13</f>
        <v>1</v>
      </c>
      <c r="AA13" s="87"/>
      <c r="AB13" s="417"/>
      <c r="AC13" s="409"/>
      <c r="AD13" s="412"/>
      <c r="AE13" s="53" t="s">
        <v>9</v>
      </c>
      <c r="AF13" s="135">
        <f>con</f>
        <v>14</v>
      </c>
      <c r="AG13" s="59"/>
      <c r="AH13" s="133">
        <f>IF(conR&lt;10,ROUNDUP((conR-10)/2,0),ROUNDDOWN((conR-10)/2,0))</f>
        <v>4</v>
      </c>
      <c r="AI13" s="22"/>
      <c r="AJ13" s="16" t="s">
        <v>233</v>
      </c>
      <c r="AK13" s="24"/>
      <c r="AL13" s="377">
        <f>AM13+AN13+AO13</f>
        <v>8</v>
      </c>
      <c r="AM13" s="137">
        <f>AM11</f>
        <v>4</v>
      </c>
      <c r="AN13" s="137">
        <f>AN11</f>
        <v>4</v>
      </c>
      <c r="AO13" s="138"/>
      <c r="AP13" s="18"/>
      <c r="AQ13" s="54" t="s">
        <v>214</v>
      </c>
      <c r="AR13" s="24"/>
      <c r="AS13" s="112">
        <f>AT13+AU13+AV13</f>
        <v>2</v>
      </c>
      <c r="AT13" s="137">
        <f>Hovedark!$P$13</f>
        <v>1</v>
      </c>
      <c r="AU13" s="137">
        <f>wismod</f>
        <v>1</v>
      </c>
      <c r="AV13" s="138"/>
      <c r="AW13" s="18"/>
      <c r="AX13" s="53" t="s">
        <v>158</v>
      </c>
      <c r="AY13" s="22"/>
      <c r="AZ13" s="377">
        <f>SUM(BA13:BD13)+FatigueAC</f>
        <v>13</v>
      </c>
      <c r="BA13" s="59">
        <f>BA11</f>
        <v>10</v>
      </c>
      <c r="BB13" s="59">
        <f>dexFmod</f>
        <v>2</v>
      </c>
      <c r="BC13" s="59">
        <f>Hovedark!$Y$13</f>
        <v>1</v>
      </c>
      <c r="BD13" s="87"/>
      <c r="BE13" s="412"/>
      <c r="BF13" s="294" t="s">
        <v>60</v>
      </c>
      <c r="BG13" s="295" t="s">
        <v>44</v>
      </c>
      <c r="BH13" s="295" t="s">
        <v>68</v>
      </c>
      <c r="BI13" s="296" t="s">
        <v>45</v>
      </c>
    </row>
    <row r="14" spans="1:61" ht="18.75" customHeight="1" thickBot="1">
      <c r="A14" s="210"/>
      <c r="B14" s="53" t="s">
        <v>10</v>
      </c>
      <c r="C14" s="135">
        <f>int</f>
        <v>14</v>
      </c>
      <c r="D14" s="59"/>
      <c r="E14" s="133">
        <f>IF(int&lt;10,ROUNDUP((int-10)/2,0),ROUNDDOWN((int-10)/2,0))</f>
        <v>2</v>
      </c>
      <c r="F14" s="18"/>
      <c r="G14" s="18"/>
      <c r="H14" s="22"/>
      <c r="I14" s="18"/>
      <c r="J14" s="18"/>
      <c r="K14" s="18"/>
      <c r="L14" s="18"/>
      <c r="M14" s="18"/>
      <c r="N14" s="318" t="s">
        <v>216</v>
      </c>
      <c r="O14" s="245"/>
      <c r="P14" s="158"/>
      <c r="Q14" s="21"/>
      <c r="R14" s="21"/>
      <c r="S14" s="22"/>
      <c r="T14" s="18"/>
      <c r="U14" s="15" t="s">
        <v>200</v>
      </c>
      <c r="V14" s="9"/>
      <c r="W14" s="322">
        <f>SUM(X14:AA14)+rageAC</f>
        <v>19</v>
      </c>
      <c r="X14" s="59">
        <f>X11</f>
        <v>10</v>
      </c>
      <c r="Y14" s="246">
        <f>Hovedark!$X$14</f>
        <v>3</v>
      </c>
      <c r="Z14" s="59">
        <f>Hovedark!$Y$14</f>
        <v>3</v>
      </c>
      <c r="AA14" s="60">
        <f>Hovedark!$Z$14</f>
        <v>5</v>
      </c>
      <c r="AB14" s="416"/>
      <c r="AC14" s="59"/>
      <c r="AD14" s="412"/>
      <c r="AE14" s="53" t="s">
        <v>10</v>
      </c>
      <c r="AF14" s="135">
        <f>int</f>
        <v>14</v>
      </c>
      <c r="AG14" s="59"/>
      <c r="AH14" s="133">
        <f>IF(int&lt;10,ROUNDUP((int-10)/2,0),ROUNDDOWN((int-10)/2,0))</f>
        <v>2</v>
      </c>
      <c r="AI14" s="18"/>
      <c r="AJ14" s="18"/>
      <c r="AK14" s="22"/>
      <c r="AL14" s="18"/>
      <c r="AM14" s="18"/>
      <c r="AN14" s="18"/>
      <c r="AO14" s="18"/>
      <c r="AP14" s="18"/>
      <c r="AQ14" s="378" t="s">
        <v>216</v>
      </c>
      <c r="AR14" s="253"/>
      <c r="AS14" s="158"/>
      <c r="AT14" s="22"/>
      <c r="AU14" s="22"/>
      <c r="AV14" s="22"/>
      <c r="AW14" s="18"/>
      <c r="AX14" s="15" t="s">
        <v>200</v>
      </c>
      <c r="AY14" s="9"/>
      <c r="AZ14" s="406">
        <f>SUM(BA14:BD14)+FatigueAC</f>
        <v>20</v>
      </c>
      <c r="BA14" s="59">
        <f>BA11</f>
        <v>10</v>
      </c>
      <c r="BB14" s="246">
        <f>dexFmod</f>
        <v>2</v>
      </c>
      <c r="BC14" s="59">
        <f>Hovedark!$Y$14</f>
        <v>3</v>
      </c>
      <c r="BD14" s="60">
        <f>Hovedark!$Z$14</f>
        <v>5</v>
      </c>
      <c r="BE14" s="412"/>
      <c r="BF14" s="7">
        <v>8</v>
      </c>
      <c r="BG14" s="30">
        <v>26</v>
      </c>
      <c r="BH14" s="30">
        <v>53</v>
      </c>
      <c r="BI14" s="31">
        <v>80</v>
      </c>
    </row>
    <row r="15" spans="1:61" ht="18.75" customHeight="1" thickBot="1">
      <c r="A15" s="210"/>
      <c r="B15" s="53" t="s">
        <v>11</v>
      </c>
      <c r="C15" s="135">
        <f>wis</f>
        <v>12</v>
      </c>
      <c r="D15" s="59"/>
      <c r="E15" s="133">
        <f>IF(wis&lt;10,ROUNDUP((wis-10)/2,0),ROUNDDOWN((wis-10)/2,0))</f>
        <v>1</v>
      </c>
      <c r="F15" s="18"/>
      <c r="G15" s="9"/>
      <c r="H15" s="1"/>
      <c r="I15" s="9"/>
      <c r="J15" s="9"/>
      <c r="K15" s="9"/>
      <c r="L15" s="9"/>
      <c r="M15" s="9"/>
      <c r="N15" s="1"/>
      <c r="O15" s="1"/>
      <c r="P15" s="1"/>
      <c r="Q15" s="1"/>
      <c r="R15" s="1"/>
      <c r="S15" s="1"/>
      <c r="T15" s="18"/>
      <c r="U15" s="320" t="s">
        <v>183</v>
      </c>
      <c r="V15" s="9"/>
      <c r="W15" s="323">
        <f>X15+Y15+Z15+AA15</f>
        <v>23</v>
      </c>
      <c r="X15" s="59">
        <f>X11</f>
        <v>10</v>
      </c>
      <c r="Y15" s="59">
        <f>Hovedark!$X$15</f>
        <v>3</v>
      </c>
      <c r="Z15" s="59">
        <f>Hovedark!$Y$15</f>
        <v>5</v>
      </c>
      <c r="AA15" s="60">
        <f>Hovedark!$Z$15</f>
        <v>5</v>
      </c>
      <c r="AB15" s="416"/>
      <c r="AC15" s="59"/>
      <c r="AD15" s="412"/>
      <c r="AE15" s="53" t="s">
        <v>11</v>
      </c>
      <c r="AF15" s="135">
        <f>wis</f>
        <v>12</v>
      </c>
      <c r="AG15" s="59"/>
      <c r="AH15" s="133">
        <f>IF(wis&lt;10,ROUNDUP((wis-10)/2,0),ROUNDDOWN((wis-10)/2,0))</f>
        <v>1</v>
      </c>
      <c r="AI15" s="18"/>
      <c r="AJ15" s="9"/>
      <c r="AK15" s="1"/>
      <c r="AL15" s="9"/>
      <c r="AM15" s="9"/>
      <c r="AN15" s="9"/>
      <c r="AO15" s="9"/>
      <c r="AP15" s="9"/>
      <c r="AQ15" s="1"/>
      <c r="AR15" s="1"/>
      <c r="AS15" s="1"/>
      <c r="AT15" s="1"/>
      <c r="AU15" s="1"/>
      <c r="AV15" s="1"/>
      <c r="AW15" s="18"/>
      <c r="AX15" s="320" t="s">
        <v>183</v>
      </c>
      <c r="AY15" s="9"/>
      <c r="AZ15" s="377">
        <f>SUM(BA15:BD15)+FatigueAC</f>
        <v>22</v>
      </c>
      <c r="BA15" s="59">
        <f>BA11</f>
        <v>10</v>
      </c>
      <c r="BB15" s="59">
        <f>dexFmod</f>
        <v>2</v>
      </c>
      <c r="BC15" s="59">
        <f>Hovedark!$Y$15</f>
        <v>5</v>
      </c>
      <c r="BD15" s="60">
        <f>Hovedark!$Z$15</f>
        <v>5</v>
      </c>
      <c r="BE15" s="412"/>
      <c r="BF15" s="7">
        <v>9</v>
      </c>
      <c r="BG15" s="30">
        <v>30</v>
      </c>
      <c r="BH15" s="30">
        <v>60</v>
      </c>
      <c r="BI15" s="31">
        <v>90</v>
      </c>
    </row>
    <row r="16" spans="1:61" ht="18.75" customHeight="1" thickBot="1">
      <c r="A16" s="210"/>
      <c r="B16" s="54" t="s">
        <v>12</v>
      </c>
      <c r="C16" s="204">
        <f>cha</f>
        <v>6</v>
      </c>
      <c r="D16" s="137"/>
      <c r="E16" s="134">
        <f>IF(cha&lt;10,ROUNDUP((cha-10)/2,0),ROUNDDOWN((cha-10)/2,0))</f>
        <v>-2</v>
      </c>
      <c r="F16" s="18"/>
      <c r="G16" s="55" t="s">
        <v>46</v>
      </c>
      <c r="H16" s="344" t="str">
        <f>hp&amp;" +"</f>
        <v>44 +</v>
      </c>
      <c r="I16" s="322">
        <f>2*L5</f>
        <v>8</v>
      </c>
      <c r="J16" s="88"/>
      <c r="K16" s="88"/>
      <c r="L16" s="171"/>
      <c r="M16" s="88"/>
      <c r="N16" s="88"/>
      <c r="O16" s="349"/>
      <c r="P16" s="425" t="s">
        <v>237</v>
      </c>
      <c r="Q16" s="13"/>
      <c r="R16" s="347">
        <f>Hovedark!Q16</f>
        <v>8</v>
      </c>
      <c r="S16" s="14"/>
      <c r="T16" s="18"/>
      <c r="U16" s="132" t="s">
        <v>219</v>
      </c>
      <c r="V16" s="22"/>
      <c r="W16" s="322">
        <f>X16+Y16+Z16+AA16+rageAC</f>
        <v>21</v>
      </c>
      <c r="X16" s="59">
        <v>10</v>
      </c>
      <c r="Y16" s="59">
        <f>Hovedark!$X$16</f>
        <v>3</v>
      </c>
      <c r="Z16" s="59">
        <f>Hovedark!$Y$16</f>
        <v>5</v>
      </c>
      <c r="AA16" s="60">
        <f>Hovedark!$Z$16</f>
        <v>5</v>
      </c>
      <c r="AB16" s="416"/>
      <c r="AC16" s="59"/>
      <c r="AD16" s="412"/>
      <c r="AE16" s="54" t="s">
        <v>12</v>
      </c>
      <c r="AF16" s="204">
        <f>cha</f>
        <v>6</v>
      </c>
      <c r="AG16" s="137"/>
      <c r="AH16" s="134">
        <f>IF(cha&lt;10,ROUNDUP((cha-10)/2,0),ROUNDDOWN((cha-10)/2,0))</f>
        <v>-2</v>
      </c>
      <c r="AI16" s="18"/>
      <c r="AJ16" s="55" t="s">
        <v>46</v>
      </c>
      <c r="AK16" s="408">
        <f>hp</f>
        <v>44</v>
      </c>
      <c r="AL16" s="429" t="s">
        <v>263</v>
      </c>
      <c r="AM16" s="88"/>
      <c r="AN16" s="88"/>
      <c r="AO16" s="171"/>
      <c r="AP16" s="88"/>
      <c r="AQ16" s="345"/>
      <c r="AR16" s="349"/>
      <c r="AS16" s="425" t="s">
        <v>237</v>
      </c>
      <c r="AT16" s="13"/>
      <c r="AU16" s="347">
        <f>R16</f>
        <v>8</v>
      </c>
      <c r="AV16" s="14"/>
      <c r="AW16" s="18"/>
      <c r="AX16" s="132" t="s">
        <v>219</v>
      </c>
      <c r="AY16" s="22"/>
      <c r="AZ16" s="407">
        <f>BA16+BB16+BC16+BD16+FatigueAC</f>
        <v>22</v>
      </c>
      <c r="BA16" s="59">
        <v>10</v>
      </c>
      <c r="BB16" s="59">
        <f>dexFmod</f>
        <v>2</v>
      </c>
      <c r="BC16" s="59">
        <f>Hovedark!$Y$16</f>
        <v>5</v>
      </c>
      <c r="BD16" s="60">
        <f>Hovedark!$Z$16</f>
        <v>5</v>
      </c>
      <c r="BE16" s="412"/>
      <c r="BF16" s="7">
        <v>10</v>
      </c>
      <c r="BG16" s="30">
        <v>33</v>
      </c>
      <c r="BH16" s="30">
        <v>66</v>
      </c>
      <c r="BI16" s="31">
        <v>100</v>
      </c>
    </row>
    <row r="17" spans="1:61" ht="18.75" customHeight="1" thickBot="1">
      <c r="A17" s="210"/>
      <c r="B17" s="208"/>
      <c r="C17" s="209"/>
      <c r="D17" s="208"/>
      <c r="E17" s="341">
        <f>SUM(E11:E16)</f>
        <v>15</v>
      </c>
      <c r="F17" s="18"/>
      <c r="G17" s="54" t="s">
        <v>47</v>
      </c>
      <c r="H17" s="322">
        <f>+conR+Chr_lvl</f>
        <v>22</v>
      </c>
      <c r="I17" s="24"/>
      <c r="J17" s="91"/>
      <c r="K17" s="91"/>
      <c r="L17" s="91"/>
      <c r="M17" s="91"/>
      <c r="N17" s="91"/>
      <c r="O17" s="51"/>
      <c r="P17" s="22"/>
      <c r="Q17" s="22"/>
      <c r="R17" s="22"/>
      <c r="S17" s="22"/>
      <c r="T17" s="18"/>
      <c r="U17" s="54" t="s">
        <v>17</v>
      </c>
      <c r="V17" s="24"/>
      <c r="W17" s="309">
        <f>X17+Y17+Z17</f>
        <v>3</v>
      </c>
      <c r="X17" s="137">
        <f>dexRmod</f>
        <v>3</v>
      </c>
      <c r="Y17" s="137"/>
      <c r="Z17" s="137"/>
      <c r="AA17" s="138"/>
      <c r="AB17" s="416"/>
      <c r="AC17" s="59"/>
      <c r="AD17" s="412"/>
      <c r="AE17" s="208"/>
      <c r="AF17" s="209"/>
      <c r="AG17" s="208"/>
      <c r="AH17" s="375">
        <f>SUM(AH11:AH16)</f>
        <v>11</v>
      </c>
      <c r="AI17" s="18"/>
      <c r="AJ17" s="54" t="s">
        <v>47</v>
      </c>
      <c r="AK17" s="112">
        <f>+con+Chr_lvl</f>
        <v>18</v>
      </c>
      <c r="AL17" s="24"/>
      <c r="AM17" s="91"/>
      <c r="AN17" s="91"/>
      <c r="AO17" s="91"/>
      <c r="AP17" s="91"/>
      <c r="AQ17" s="346"/>
      <c r="AR17" s="51"/>
      <c r="AS17" s="22"/>
      <c r="AT17" s="22"/>
      <c r="AU17" s="22"/>
      <c r="AV17" s="22"/>
      <c r="AW17" s="18"/>
      <c r="AX17" s="54" t="s">
        <v>17</v>
      </c>
      <c r="AY17" s="24"/>
      <c r="AZ17" s="309">
        <f>BA17+BB17+BC17</f>
        <v>3</v>
      </c>
      <c r="BA17" s="137">
        <f>dexRmod</f>
        <v>3</v>
      </c>
      <c r="BB17" s="137"/>
      <c r="BC17" s="137"/>
      <c r="BD17" s="138"/>
      <c r="BE17" s="412"/>
      <c r="BF17" s="7">
        <v>11</v>
      </c>
      <c r="BG17" s="30">
        <v>38</v>
      </c>
      <c r="BH17" s="30">
        <v>76</v>
      </c>
      <c r="BI17" s="31">
        <v>115</v>
      </c>
    </row>
    <row r="18" spans="1:61" ht="18.75" customHeight="1">
      <c r="A18" s="2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52" t="s">
        <v>201</v>
      </c>
      <c r="Q18" s="9"/>
      <c r="R18" s="9"/>
      <c r="S18" s="9"/>
      <c r="T18" s="9"/>
      <c r="U18" s="251" t="s">
        <v>199</v>
      </c>
      <c r="V18" s="9"/>
      <c r="W18" s="9"/>
      <c r="X18" s="9"/>
      <c r="Y18" s="252" t="s">
        <v>220</v>
      </c>
      <c r="Z18" s="9"/>
      <c r="AA18" s="9"/>
      <c r="AB18" s="370"/>
      <c r="AC18" s="9"/>
      <c r="AD18" s="412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252" t="s">
        <v>201</v>
      </c>
      <c r="AT18" s="9"/>
      <c r="AU18" s="9"/>
      <c r="AV18" s="9"/>
      <c r="AW18" s="9"/>
      <c r="AX18" s="251" t="s">
        <v>199</v>
      </c>
      <c r="AY18" s="9"/>
      <c r="AZ18" s="9"/>
      <c r="BA18" s="9"/>
      <c r="BB18" s="252" t="s">
        <v>220</v>
      </c>
      <c r="BC18" s="9"/>
      <c r="BD18" s="9"/>
      <c r="BE18" s="412"/>
      <c r="BF18" s="7">
        <v>12</v>
      </c>
      <c r="BG18" s="30">
        <v>43</v>
      </c>
      <c r="BH18" s="30">
        <v>86</v>
      </c>
      <c r="BI18" s="31">
        <v>130</v>
      </c>
    </row>
    <row r="19" spans="1:61" ht="18.75" customHeight="1">
      <c r="A19" s="2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70"/>
      <c r="AC19" s="9"/>
      <c r="AD19" s="412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412"/>
      <c r="BF19" s="7">
        <v>13</v>
      </c>
      <c r="BG19" s="30">
        <v>50</v>
      </c>
      <c r="BH19" s="30">
        <v>100</v>
      </c>
      <c r="BI19" s="31">
        <v>150</v>
      </c>
    </row>
    <row r="20" spans="1:61" ht="18.75" customHeight="1" thickBot="1">
      <c r="A20" s="210"/>
      <c r="B20" s="41"/>
      <c r="C20" s="21"/>
      <c r="D20" s="42" t="s">
        <v>53</v>
      </c>
      <c r="E20" s="83" t="s">
        <v>4</v>
      </c>
      <c r="F20" s="43" t="s">
        <v>83</v>
      </c>
      <c r="G20" s="44" t="s">
        <v>82</v>
      </c>
      <c r="H20" s="43" t="s">
        <v>117</v>
      </c>
      <c r="I20" s="44" t="s">
        <v>130</v>
      </c>
      <c r="J20" s="28" t="s">
        <v>15</v>
      </c>
      <c r="K20" s="45" t="s">
        <v>59</v>
      </c>
      <c r="L20" s="21"/>
      <c r="M20" s="21"/>
      <c r="N20" s="109" t="s">
        <v>129</v>
      </c>
      <c r="O20" s="18"/>
      <c r="P20" s="92"/>
      <c r="Q20" s="115" t="s">
        <v>166</v>
      </c>
      <c r="R20" s="116"/>
      <c r="S20" s="113" t="s">
        <v>120</v>
      </c>
      <c r="T20" s="114" t="s">
        <v>163</v>
      </c>
      <c r="U20" s="114" t="s">
        <v>164</v>
      </c>
      <c r="V20" s="20"/>
      <c r="W20" s="93" t="s">
        <v>48</v>
      </c>
      <c r="X20" s="94"/>
      <c r="Y20" s="93" t="s">
        <v>71</v>
      </c>
      <c r="Z20" s="95"/>
      <c r="AA20" s="23"/>
      <c r="AB20" s="414"/>
      <c r="AC20" s="1"/>
      <c r="AD20" s="412"/>
      <c r="AE20" s="41"/>
      <c r="AF20" s="21"/>
      <c r="AG20" s="42" t="s">
        <v>53</v>
      </c>
      <c r="AH20" s="83" t="s">
        <v>4</v>
      </c>
      <c r="AI20" s="43" t="s">
        <v>83</v>
      </c>
      <c r="AJ20" s="44" t="s">
        <v>82</v>
      </c>
      <c r="AK20" s="43" t="s">
        <v>117</v>
      </c>
      <c r="AL20" s="44" t="s">
        <v>130</v>
      </c>
      <c r="AM20" s="28" t="s">
        <v>15</v>
      </c>
      <c r="AN20" s="45" t="s">
        <v>59</v>
      </c>
      <c r="AO20" s="21"/>
      <c r="AP20" s="21"/>
      <c r="AQ20" s="109" t="s">
        <v>129</v>
      </c>
      <c r="AR20" s="18"/>
      <c r="AS20" s="92"/>
      <c r="AT20" s="115" t="s">
        <v>166</v>
      </c>
      <c r="AU20" s="116"/>
      <c r="AV20" s="113" t="s">
        <v>120</v>
      </c>
      <c r="AW20" s="114" t="s">
        <v>163</v>
      </c>
      <c r="AX20" s="114" t="s">
        <v>164</v>
      </c>
      <c r="AY20" s="20"/>
      <c r="AZ20" s="93" t="s">
        <v>48</v>
      </c>
      <c r="BA20" s="94"/>
      <c r="BB20" s="93" t="s">
        <v>71</v>
      </c>
      <c r="BC20" s="95"/>
      <c r="BD20" s="23"/>
      <c r="BE20" s="412"/>
      <c r="BF20" s="7">
        <v>14</v>
      </c>
      <c r="BG20" s="30">
        <v>58</v>
      </c>
      <c r="BH20" s="30">
        <v>116</v>
      </c>
      <c r="BI20" s="31">
        <v>175</v>
      </c>
    </row>
    <row r="21" spans="1:61" ht="18.75" customHeight="1" thickBot="1">
      <c r="A21" s="210"/>
      <c r="B21" s="234" t="s">
        <v>154</v>
      </c>
      <c r="C21" s="235"/>
      <c r="D21" s="235" t="s">
        <v>54</v>
      </c>
      <c r="E21" s="337">
        <f aca="true" t="shared" si="0" ref="E21:E27">+F21+G21+I21+J21+H21</f>
        <v>2</v>
      </c>
      <c r="F21" s="237">
        <f aca="true" t="shared" si="1" ref="F21:F44">IF(D21="Int",intmod,IF(D21="Dex",dexRmod,IF(D21="Cha",chamod,IF(D21="Str",strRmod,IF(D21="Con",conRmod,wismod)))))</f>
        <v>2</v>
      </c>
      <c r="G21" s="237">
        <f>Hovedark!$F$21</f>
        <v>0</v>
      </c>
      <c r="H21" s="237"/>
      <c r="I21" s="237"/>
      <c r="J21" s="237"/>
      <c r="K21" s="350" t="str">
        <f>Hovedark!$J$21</f>
        <v>+2 with stones</v>
      </c>
      <c r="L21" s="237"/>
      <c r="M21" s="257"/>
      <c r="N21" s="258">
        <v>67</v>
      </c>
      <c r="O21" s="18"/>
      <c r="P21" s="9" t="str">
        <f>Hovedark!$O$21</f>
        <v>+1 GreatClub</v>
      </c>
      <c r="Q21" s="22"/>
      <c r="R21" s="22"/>
      <c r="S21" s="229"/>
      <c r="T21" s="230">
        <f>wp2attbonus</f>
        <v>1</v>
      </c>
      <c r="U21" s="230">
        <f>wp2attbonus</f>
        <v>1</v>
      </c>
      <c r="V21" s="1"/>
      <c r="W21" s="327">
        <f>IF(wp2type="M",mRmod,rRmod)+wp2attbonus</f>
        <v>12</v>
      </c>
      <c r="X21" s="328"/>
      <c r="Y21" s="329" t="str">
        <f>wp2dmg_dice</f>
        <v>d10</v>
      </c>
      <c r="Z21" s="330" t="str">
        <f>IF(wp2type="P","+"&amp;wp2dmgbonus,(IF((strRmod+wp2dmgbonus)&gt;0,"+"&amp;(strRmod+wp2dmgbonus),IF((strRmod+wp2dmgbonus)&lt;0,(strRmod+wp2dmgbonus),""))))</f>
        <v>+8</v>
      </c>
      <c r="AA21" s="145"/>
      <c r="AB21" s="418"/>
      <c r="AC21" s="342"/>
      <c r="AD21" s="412"/>
      <c r="AE21" s="234" t="s">
        <v>154</v>
      </c>
      <c r="AF21" s="235"/>
      <c r="AG21" s="235" t="s">
        <v>54</v>
      </c>
      <c r="AH21" s="236">
        <f aca="true" t="shared" si="2" ref="AH21:AH27">+AI21+AJ21+AL21+AM21+AK21</f>
        <v>2</v>
      </c>
      <c r="AI21" s="237">
        <f aca="true" t="shared" si="3" ref="AI21:AI44">IF(AG21="Int",intmod,IF(AG21="Dex",dexFmod,IF(AG21="Cha",chamod,IF(AG21="Str",strFmod,IF(AG21="Con",conmod,wismod)))))</f>
        <v>2</v>
      </c>
      <c r="AJ21" s="237">
        <f>Hovedark!$F$21</f>
        <v>0</v>
      </c>
      <c r="AK21" s="237"/>
      <c r="AL21" s="237"/>
      <c r="AM21" s="237"/>
      <c r="AN21" s="350" t="str">
        <f>Hovedark!$J$21</f>
        <v>+2 with stones</v>
      </c>
      <c r="AO21" s="237"/>
      <c r="AP21" s="257"/>
      <c r="AQ21" s="258">
        <v>67</v>
      </c>
      <c r="AR21" s="18"/>
      <c r="AS21" s="9" t="str">
        <f>Hovedark!$O$21</f>
        <v>+1 GreatClub</v>
      </c>
      <c r="AT21" s="22"/>
      <c r="AU21" s="22"/>
      <c r="AV21" s="229"/>
      <c r="AW21" s="230">
        <f>wp2attbonus</f>
        <v>1</v>
      </c>
      <c r="AX21" s="230">
        <f>wp2attbonus</f>
        <v>1</v>
      </c>
      <c r="AY21" s="1"/>
      <c r="AZ21" s="400">
        <f>+AL11+AW21</f>
        <v>9</v>
      </c>
      <c r="BA21" s="401"/>
      <c r="BB21" s="402" t="str">
        <f>wp2dmg_dice</f>
        <v>d10</v>
      </c>
      <c r="BC21" s="403" t="str">
        <f>"+"&amp;strFmod+AX21</f>
        <v>+5</v>
      </c>
      <c r="BD21" s="145"/>
      <c r="BE21" s="412"/>
      <c r="BF21" s="8">
        <v>15</v>
      </c>
      <c r="BG21" s="30">
        <v>66</v>
      </c>
      <c r="BH21" s="30">
        <v>133</v>
      </c>
      <c r="BI21" s="31">
        <v>200</v>
      </c>
    </row>
    <row r="22" spans="1:61" ht="18.75" customHeight="1" thickBot="1">
      <c r="A22" s="210"/>
      <c r="B22" s="234" t="s">
        <v>21</v>
      </c>
      <c r="C22" s="235"/>
      <c r="D22" s="235" t="s">
        <v>109</v>
      </c>
      <c r="E22" s="236">
        <f t="shared" si="0"/>
        <v>8</v>
      </c>
      <c r="F22" s="237">
        <f t="shared" si="1"/>
        <v>3</v>
      </c>
      <c r="G22" s="237">
        <f>Hovedark!$F$22</f>
        <v>6</v>
      </c>
      <c r="H22" s="237">
        <f>Hovedark!$G$22</f>
        <v>-1</v>
      </c>
      <c r="I22" s="237"/>
      <c r="J22" s="237"/>
      <c r="K22" s="257"/>
      <c r="L22" s="257"/>
      <c r="M22" s="257"/>
      <c r="N22" s="258">
        <v>67</v>
      </c>
      <c r="O22" s="18"/>
      <c r="P22" s="97"/>
      <c r="Q22" s="79" t="s">
        <v>50</v>
      </c>
      <c r="R22" s="79" t="str">
        <f>Hovedark!$Q$22</f>
        <v>M</v>
      </c>
      <c r="S22" s="79"/>
      <c r="T22" s="79" t="s">
        <v>49</v>
      </c>
      <c r="U22" s="79" t="str">
        <f>Hovedark!$T$22</f>
        <v>x2</v>
      </c>
      <c r="V22" s="79"/>
      <c r="W22" s="79"/>
      <c r="X22" s="79" t="s">
        <v>165</v>
      </c>
      <c r="Y22" s="79" t="str">
        <f>wp2type</f>
        <v>M</v>
      </c>
      <c r="Z22" s="79" t="s">
        <v>52</v>
      </c>
      <c r="AA22" s="143">
        <f>wp2wgt</f>
        <v>8</v>
      </c>
      <c r="AB22" s="419"/>
      <c r="AC22" s="343"/>
      <c r="AD22" s="412"/>
      <c r="AE22" s="234" t="s">
        <v>21</v>
      </c>
      <c r="AF22" s="235"/>
      <c r="AG22" s="235" t="s">
        <v>109</v>
      </c>
      <c r="AH22" s="377">
        <f t="shared" si="2"/>
        <v>7</v>
      </c>
      <c r="AI22" s="237">
        <f t="shared" si="3"/>
        <v>2</v>
      </c>
      <c r="AJ22" s="237">
        <f>Hovedark!$F$22</f>
        <v>6</v>
      </c>
      <c r="AK22" s="237">
        <f>Hovedark!$G$22</f>
        <v>-1</v>
      </c>
      <c r="AL22" s="237"/>
      <c r="AM22" s="237"/>
      <c r="AN22" s="257"/>
      <c r="AO22" s="257"/>
      <c r="AP22" s="257"/>
      <c r="AQ22" s="258">
        <v>67</v>
      </c>
      <c r="AR22" s="18"/>
      <c r="AS22" s="97"/>
      <c r="AT22" s="79" t="s">
        <v>50</v>
      </c>
      <c r="AU22" s="79" t="str">
        <f>Hovedark!$Q$22</f>
        <v>M</v>
      </c>
      <c r="AV22" s="79"/>
      <c r="AW22" s="79" t="s">
        <v>49</v>
      </c>
      <c r="AX22" s="79" t="str">
        <f>Hovedark!$T$22</f>
        <v>x2</v>
      </c>
      <c r="AY22" s="79"/>
      <c r="AZ22" s="79"/>
      <c r="BA22" s="79" t="s">
        <v>165</v>
      </c>
      <c r="BB22" s="79" t="str">
        <f>wp2type</f>
        <v>M</v>
      </c>
      <c r="BC22" s="79" t="s">
        <v>52</v>
      </c>
      <c r="BD22" s="143">
        <f>wp2wgt</f>
        <v>8</v>
      </c>
      <c r="BE22" s="412"/>
      <c r="BF22" s="8">
        <v>16</v>
      </c>
      <c r="BG22" s="30">
        <v>76</v>
      </c>
      <c r="BH22" s="30">
        <v>153</v>
      </c>
      <c r="BI22" s="31">
        <v>230</v>
      </c>
    </row>
    <row r="23" spans="1:61" ht="18.75" customHeight="1" thickBot="1">
      <c r="A23" s="210"/>
      <c r="B23" s="234" t="s">
        <v>22</v>
      </c>
      <c r="C23" s="235"/>
      <c r="D23" s="235" t="s">
        <v>55</v>
      </c>
      <c r="E23" s="337">
        <f t="shared" si="0"/>
        <v>-2</v>
      </c>
      <c r="F23" s="237">
        <f t="shared" si="1"/>
        <v>-2</v>
      </c>
      <c r="G23" s="237">
        <f>Hovedark!$F$23</f>
        <v>0</v>
      </c>
      <c r="H23" s="237"/>
      <c r="I23" s="237"/>
      <c r="J23" s="237"/>
      <c r="K23" s="257"/>
      <c r="L23" s="257"/>
      <c r="M23" s="257"/>
      <c r="N23" s="258">
        <v>67</v>
      </c>
      <c r="O23" s="18"/>
      <c r="P23" s="97"/>
      <c r="Q23" s="79" t="s">
        <v>51</v>
      </c>
      <c r="R23" s="79" t="s">
        <v>284</v>
      </c>
      <c r="S23" s="79"/>
      <c r="T23" s="79"/>
      <c r="U23" s="79"/>
      <c r="V23" s="79"/>
      <c r="W23" s="79"/>
      <c r="X23" s="79"/>
      <c r="Y23" s="79"/>
      <c r="Z23" s="79"/>
      <c r="AA23" s="143"/>
      <c r="AB23" s="419"/>
      <c r="AC23" s="343"/>
      <c r="AD23" s="412"/>
      <c r="AE23" s="234" t="s">
        <v>22</v>
      </c>
      <c r="AF23" s="235"/>
      <c r="AG23" s="235" t="s">
        <v>55</v>
      </c>
      <c r="AH23" s="236">
        <f t="shared" si="2"/>
        <v>-2</v>
      </c>
      <c r="AI23" s="237">
        <f t="shared" si="3"/>
        <v>-2</v>
      </c>
      <c r="AJ23" s="237">
        <f>Hovedark!$F$23</f>
        <v>0</v>
      </c>
      <c r="AK23" s="237"/>
      <c r="AL23" s="237"/>
      <c r="AM23" s="237"/>
      <c r="AN23" s="257"/>
      <c r="AO23" s="257"/>
      <c r="AP23" s="257"/>
      <c r="AQ23" s="258">
        <v>67</v>
      </c>
      <c r="AR23" s="18"/>
      <c r="AS23" s="97"/>
      <c r="AT23" s="79" t="s">
        <v>51</v>
      </c>
      <c r="AU23" s="79"/>
      <c r="AV23" s="79"/>
      <c r="AW23" s="79"/>
      <c r="AX23" s="79"/>
      <c r="AY23" s="79"/>
      <c r="AZ23" s="79"/>
      <c r="BA23" s="79"/>
      <c r="BB23" s="79"/>
      <c r="BC23" s="79"/>
      <c r="BD23" s="143"/>
      <c r="BE23" s="412"/>
      <c r="BF23" s="7">
        <v>17</v>
      </c>
      <c r="BG23" s="30">
        <v>86</v>
      </c>
      <c r="BH23" s="30">
        <v>173</v>
      </c>
      <c r="BI23" s="31">
        <v>260</v>
      </c>
    </row>
    <row r="24" spans="1:61" ht="18.75" customHeight="1" thickBot="1">
      <c r="A24" s="210"/>
      <c r="B24" s="234" t="s">
        <v>81</v>
      </c>
      <c r="C24" s="235"/>
      <c r="D24" s="235" t="s">
        <v>60</v>
      </c>
      <c r="E24" s="322">
        <f t="shared" si="0"/>
        <v>12</v>
      </c>
      <c r="F24" s="237">
        <f t="shared" si="1"/>
        <v>7</v>
      </c>
      <c r="G24" s="237">
        <f>Hovedark!$F$24</f>
        <v>6</v>
      </c>
      <c r="H24" s="237">
        <f>Hovedark!$G$24</f>
        <v>-1</v>
      </c>
      <c r="I24" s="237"/>
      <c r="J24" s="237"/>
      <c r="K24" s="350" t="str">
        <f>Hovedark!$J$24</f>
        <v>+2 from Use Rope if rope</v>
      </c>
      <c r="L24" s="257"/>
      <c r="M24" s="257"/>
      <c r="N24" s="258">
        <v>69</v>
      </c>
      <c r="O24" s="18"/>
      <c r="P24" s="97"/>
      <c r="Q24" s="17"/>
      <c r="R24" s="17"/>
      <c r="S24" s="22"/>
      <c r="T24" s="17"/>
      <c r="U24" s="17"/>
      <c r="V24" s="17"/>
      <c r="W24" s="17"/>
      <c r="X24" s="17"/>
      <c r="Y24" s="17"/>
      <c r="Z24" s="17"/>
      <c r="AA24" s="144"/>
      <c r="AB24" s="420"/>
      <c r="AC24" s="174"/>
      <c r="AD24" s="412"/>
      <c r="AE24" s="234" t="s">
        <v>81</v>
      </c>
      <c r="AF24" s="235"/>
      <c r="AG24" s="235" t="s">
        <v>60</v>
      </c>
      <c r="AH24" s="377">
        <f t="shared" si="2"/>
        <v>9</v>
      </c>
      <c r="AI24" s="237">
        <f t="shared" si="3"/>
        <v>4</v>
      </c>
      <c r="AJ24" s="237">
        <f>Hovedark!$F$24</f>
        <v>6</v>
      </c>
      <c r="AK24" s="237">
        <f>Hovedark!$G$24</f>
        <v>-1</v>
      </c>
      <c r="AL24" s="237"/>
      <c r="AM24" s="237"/>
      <c r="AN24" s="350" t="str">
        <f>Hovedark!$J$24</f>
        <v>+2 from Use Rope if rope</v>
      </c>
      <c r="AO24" s="257"/>
      <c r="AP24" s="257"/>
      <c r="AQ24" s="258">
        <v>69</v>
      </c>
      <c r="AR24" s="18"/>
      <c r="AS24" s="97"/>
      <c r="AT24" s="17"/>
      <c r="AU24" s="17"/>
      <c r="AV24" s="22"/>
      <c r="AW24" s="17"/>
      <c r="AX24" s="17"/>
      <c r="AY24" s="17"/>
      <c r="AZ24" s="17"/>
      <c r="BA24" s="17"/>
      <c r="BB24" s="17"/>
      <c r="BC24" s="17"/>
      <c r="BD24" s="144"/>
      <c r="BE24" s="412"/>
      <c r="BF24" s="7">
        <v>18</v>
      </c>
      <c r="BG24" s="30">
        <v>100</v>
      </c>
      <c r="BH24" s="30">
        <v>200</v>
      </c>
      <c r="BI24" s="31">
        <v>300</v>
      </c>
    </row>
    <row r="25" spans="1:61" ht="18.75" customHeight="1" thickBot="1">
      <c r="A25" s="210"/>
      <c r="B25" s="234" t="s">
        <v>24</v>
      </c>
      <c r="C25" s="235"/>
      <c r="D25" s="235" t="s">
        <v>56</v>
      </c>
      <c r="E25" s="337">
        <f t="shared" si="0"/>
        <v>4</v>
      </c>
      <c r="F25" s="237">
        <f t="shared" si="1"/>
        <v>4</v>
      </c>
      <c r="G25" s="237">
        <f>Hovedark!$F$25</f>
        <v>0</v>
      </c>
      <c r="H25" s="237"/>
      <c r="I25" s="237"/>
      <c r="J25" s="237"/>
      <c r="K25" s="257"/>
      <c r="L25" s="257"/>
      <c r="M25" s="257"/>
      <c r="N25" s="258">
        <v>69</v>
      </c>
      <c r="O25" s="18"/>
      <c r="P25" s="455" t="str">
        <f>Hovedark!$O$25</f>
        <v>+1 Scimitar</v>
      </c>
      <c r="Q25" s="208"/>
      <c r="R25" s="208"/>
      <c r="S25" s="229"/>
      <c r="T25" s="230"/>
      <c r="U25" s="230"/>
      <c r="V25" s="453"/>
      <c r="W25" s="327">
        <f>IF(wp1type="M",mRmod,rRmod)+wp1attbonus</f>
        <v>12</v>
      </c>
      <c r="X25" s="456"/>
      <c r="Y25" s="329" t="str">
        <f>wp1dmg_dice</f>
        <v>d6</v>
      </c>
      <c r="Z25" s="330" t="str">
        <f>IF(wp1type="P","+"&amp;wp1dmgbonus,(IF((strRmod+wp1dmgbonus)&gt;0,"+"&amp;(strRmod+wp1dmgbonus),IF((strRmod+wp1dmgbonus)&lt;0,(strRmod+wp1dmgbonus),""))))</f>
        <v>+8</v>
      </c>
      <c r="AA25" s="445"/>
      <c r="AB25" s="414"/>
      <c r="AC25" s="1"/>
      <c r="AD25" s="412"/>
      <c r="AE25" s="234" t="s">
        <v>24</v>
      </c>
      <c r="AF25" s="235"/>
      <c r="AG25" s="235" t="s">
        <v>56</v>
      </c>
      <c r="AH25" s="236">
        <f t="shared" si="2"/>
        <v>2</v>
      </c>
      <c r="AI25" s="237">
        <f t="shared" si="3"/>
        <v>2</v>
      </c>
      <c r="AJ25" s="237">
        <f>Hovedark!$F$25</f>
        <v>0</v>
      </c>
      <c r="AK25" s="237"/>
      <c r="AL25" s="237"/>
      <c r="AM25" s="237"/>
      <c r="AN25" s="257"/>
      <c r="AO25" s="257"/>
      <c r="AP25" s="257"/>
      <c r="AQ25" s="258">
        <v>69</v>
      </c>
      <c r="AR25" s="451"/>
      <c r="AS25" s="455" t="str">
        <f>Hovedark!$O$25</f>
        <v>+1 Scimitar</v>
      </c>
      <c r="AT25" s="208"/>
      <c r="AU25" s="208"/>
      <c r="AV25" s="229"/>
      <c r="AW25" s="230">
        <v>1</v>
      </c>
      <c r="AX25" s="230">
        <v>1</v>
      </c>
      <c r="AY25" s="453"/>
      <c r="AZ25" s="400">
        <f>+AL11+AW25</f>
        <v>9</v>
      </c>
      <c r="BA25" s="463"/>
      <c r="BB25" s="402" t="str">
        <f>wp1dmg_dice</f>
        <v>d6</v>
      </c>
      <c r="BC25" s="403" t="str">
        <f>"+"&amp;strFmod+AX25</f>
        <v>+5</v>
      </c>
      <c r="BD25" s="445"/>
      <c r="BE25" s="412"/>
      <c r="BF25" s="7">
        <v>19</v>
      </c>
      <c r="BG25" s="30">
        <v>116</v>
      </c>
      <c r="BH25" s="30">
        <v>233</v>
      </c>
      <c r="BI25" s="31">
        <v>350</v>
      </c>
    </row>
    <row r="26" spans="1:61" ht="18.75" customHeight="1">
      <c r="A26" s="210"/>
      <c r="B26" s="234" t="s">
        <v>25</v>
      </c>
      <c r="C26" s="235"/>
      <c r="D26" s="235" t="s">
        <v>55</v>
      </c>
      <c r="E26" s="337">
        <f t="shared" si="0"/>
        <v>-2</v>
      </c>
      <c r="F26" s="237">
        <f t="shared" si="1"/>
        <v>-2</v>
      </c>
      <c r="G26" s="237">
        <f>Hovedark!$F$26</f>
        <v>0</v>
      </c>
      <c r="H26" s="237"/>
      <c r="I26" s="237"/>
      <c r="J26" s="237"/>
      <c r="K26" s="257"/>
      <c r="L26" s="257"/>
      <c r="M26" s="257"/>
      <c r="N26" s="258">
        <v>71</v>
      </c>
      <c r="O26" s="18"/>
      <c r="P26" s="51"/>
      <c r="Q26" s="79" t="s">
        <v>76</v>
      </c>
      <c r="R26" s="79" t="str">
        <f>Hovedark!$Q$26</f>
        <v>M</v>
      </c>
      <c r="S26" s="79"/>
      <c r="T26" s="79" t="s">
        <v>49</v>
      </c>
      <c r="U26" s="79" t="str">
        <f>Hovedark!$T$26</f>
        <v>18-20/x2</v>
      </c>
      <c r="V26" s="79"/>
      <c r="W26" s="79"/>
      <c r="X26" s="79" t="s">
        <v>165</v>
      </c>
      <c r="Y26" s="79" t="str">
        <f>wp1type</f>
        <v>M</v>
      </c>
      <c r="Z26" s="79" t="s">
        <v>52</v>
      </c>
      <c r="AA26" s="143">
        <f>wp1wgt</f>
        <v>2</v>
      </c>
      <c r="AB26" s="419"/>
      <c r="AC26" s="343"/>
      <c r="AD26" s="412"/>
      <c r="AE26" s="234" t="s">
        <v>25</v>
      </c>
      <c r="AF26" s="235"/>
      <c r="AG26" s="235" t="s">
        <v>55</v>
      </c>
      <c r="AH26" s="236">
        <f t="shared" si="2"/>
        <v>-2</v>
      </c>
      <c r="AI26" s="237">
        <f t="shared" si="3"/>
        <v>-2</v>
      </c>
      <c r="AJ26" s="237">
        <f>Hovedark!$F$26</f>
        <v>0</v>
      </c>
      <c r="AK26" s="237"/>
      <c r="AL26" s="237"/>
      <c r="AM26" s="237"/>
      <c r="AN26" s="257"/>
      <c r="AO26" s="257"/>
      <c r="AP26" s="257"/>
      <c r="AQ26" s="258">
        <v>71</v>
      </c>
      <c r="AR26" s="18"/>
      <c r="AS26" s="51"/>
      <c r="AT26" s="79" t="s">
        <v>76</v>
      </c>
      <c r="AU26" s="79" t="str">
        <f>Hovedark!$Q$26</f>
        <v>M</v>
      </c>
      <c r="AV26" s="79"/>
      <c r="AW26" s="79" t="s">
        <v>49</v>
      </c>
      <c r="AX26" s="79" t="str">
        <f>Hovedark!$T$26</f>
        <v>18-20/x2</v>
      </c>
      <c r="AY26" s="79"/>
      <c r="AZ26" s="79"/>
      <c r="BA26" s="79" t="s">
        <v>165</v>
      </c>
      <c r="BB26" s="79" t="str">
        <f>wp1type</f>
        <v>M</v>
      </c>
      <c r="BC26" s="79" t="s">
        <v>52</v>
      </c>
      <c r="BD26" s="143">
        <f>wp1wgt</f>
        <v>2</v>
      </c>
      <c r="BE26" s="412"/>
      <c r="BF26" s="12">
        <v>20</v>
      </c>
      <c r="BG26" s="32">
        <v>133</v>
      </c>
      <c r="BH26" s="32">
        <v>266</v>
      </c>
      <c r="BI26" s="33">
        <v>400</v>
      </c>
    </row>
    <row r="27" spans="1:57" ht="18.75" customHeight="1" thickBot="1">
      <c r="A27" s="210"/>
      <c r="B27" s="234" t="s">
        <v>26</v>
      </c>
      <c r="C27" s="235"/>
      <c r="D27" s="235" t="s">
        <v>55</v>
      </c>
      <c r="E27" s="337">
        <f t="shared" si="0"/>
        <v>-2</v>
      </c>
      <c r="F27" s="237">
        <f t="shared" si="1"/>
        <v>-2</v>
      </c>
      <c r="G27" s="237">
        <f>Hovedark!$F$27</f>
        <v>0</v>
      </c>
      <c r="H27" s="237"/>
      <c r="I27" s="237"/>
      <c r="J27" s="237"/>
      <c r="K27" s="257"/>
      <c r="L27" s="257"/>
      <c r="M27" s="257"/>
      <c r="N27" s="258">
        <v>72</v>
      </c>
      <c r="O27" s="18"/>
      <c r="P27" s="97"/>
      <c r="Q27" s="79" t="s">
        <v>51</v>
      </c>
      <c r="R27" s="158"/>
      <c r="S27" s="79"/>
      <c r="T27" s="79"/>
      <c r="U27" s="79"/>
      <c r="V27" s="79"/>
      <c r="W27" s="79"/>
      <c r="X27" s="158"/>
      <c r="Y27" s="79"/>
      <c r="Z27" s="79"/>
      <c r="AA27" s="143"/>
      <c r="AB27" s="419"/>
      <c r="AC27" s="343"/>
      <c r="AD27" s="412"/>
      <c r="AE27" s="234" t="s">
        <v>26</v>
      </c>
      <c r="AF27" s="235"/>
      <c r="AG27" s="235" t="s">
        <v>55</v>
      </c>
      <c r="AH27" s="236">
        <f t="shared" si="2"/>
        <v>-2</v>
      </c>
      <c r="AI27" s="237">
        <f t="shared" si="3"/>
        <v>-2</v>
      </c>
      <c r="AJ27" s="237">
        <f>Hovedark!$F$27</f>
        <v>0</v>
      </c>
      <c r="AK27" s="237"/>
      <c r="AL27" s="237"/>
      <c r="AM27" s="237"/>
      <c r="AN27" s="257"/>
      <c r="AO27" s="257"/>
      <c r="AP27" s="257"/>
      <c r="AQ27" s="258">
        <v>72</v>
      </c>
      <c r="AR27" s="18"/>
      <c r="AS27" s="97"/>
      <c r="AT27" s="79" t="s">
        <v>51</v>
      </c>
      <c r="AU27" s="158"/>
      <c r="AV27" s="79"/>
      <c r="AW27" s="79"/>
      <c r="AX27" s="79"/>
      <c r="AY27" s="79"/>
      <c r="AZ27" s="79"/>
      <c r="BA27" s="158"/>
      <c r="BB27" s="79"/>
      <c r="BC27" s="79"/>
      <c r="BD27" s="143"/>
      <c r="BE27" s="412"/>
    </row>
    <row r="28" spans="1:57" ht="18.75" customHeight="1" thickBot="1">
      <c r="A28" s="210"/>
      <c r="B28" s="234" t="s">
        <v>27</v>
      </c>
      <c r="C28" s="235"/>
      <c r="D28" s="235" t="s">
        <v>57</v>
      </c>
      <c r="E28" s="236">
        <f>+F28+G28+I28+J28+H28</f>
        <v>2</v>
      </c>
      <c r="F28" s="237">
        <f t="shared" si="1"/>
        <v>3</v>
      </c>
      <c r="G28" s="237">
        <f>Hovedark!$F$28</f>
        <v>0</v>
      </c>
      <c r="H28" s="237">
        <f>Hovedark!$G$28</f>
        <v>-1</v>
      </c>
      <c r="I28" s="237"/>
      <c r="J28" s="254"/>
      <c r="K28" s="350" t="str">
        <f>Hovedark!$J$28</f>
        <v>+2 from Use Rope if esc. from ropes</v>
      </c>
      <c r="L28" s="257"/>
      <c r="M28" s="257"/>
      <c r="N28" s="258">
        <v>73</v>
      </c>
      <c r="O28" s="18"/>
      <c r="P28" s="97"/>
      <c r="Q28" s="17"/>
      <c r="R28" s="17"/>
      <c r="S28" s="22"/>
      <c r="T28" s="17"/>
      <c r="U28" s="17"/>
      <c r="V28" s="17"/>
      <c r="W28" s="17"/>
      <c r="X28" s="17"/>
      <c r="Y28" s="17"/>
      <c r="Z28" s="17"/>
      <c r="AA28" s="144"/>
      <c r="AB28" s="420"/>
      <c r="AC28" s="174"/>
      <c r="AD28" s="412"/>
      <c r="AE28" s="234" t="s">
        <v>27</v>
      </c>
      <c r="AF28" s="235"/>
      <c r="AG28" s="235" t="s">
        <v>57</v>
      </c>
      <c r="AH28" s="377">
        <f>+AI28+AJ28+AL28+AM28+AK28</f>
        <v>1</v>
      </c>
      <c r="AI28" s="237">
        <f t="shared" si="3"/>
        <v>2</v>
      </c>
      <c r="AJ28" s="237">
        <f>Hovedark!$F$28</f>
        <v>0</v>
      </c>
      <c r="AK28" s="237">
        <f>Hovedark!$G$28</f>
        <v>-1</v>
      </c>
      <c r="AL28" s="237"/>
      <c r="AM28" s="254"/>
      <c r="AN28" s="350" t="str">
        <f>Hovedark!$J$28</f>
        <v>+2 from Use Rope if esc. from ropes</v>
      </c>
      <c r="AO28" s="257"/>
      <c r="AP28" s="257"/>
      <c r="AQ28" s="258">
        <v>73</v>
      </c>
      <c r="AR28" s="18"/>
      <c r="AS28" s="97"/>
      <c r="AT28" s="17"/>
      <c r="AU28" s="17"/>
      <c r="AV28" s="22"/>
      <c r="AW28" s="17"/>
      <c r="AX28" s="17"/>
      <c r="AY28" s="17"/>
      <c r="AZ28" s="17"/>
      <c r="BA28" s="17"/>
      <c r="BB28" s="17"/>
      <c r="BC28" s="17"/>
      <c r="BD28" s="144"/>
      <c r="BE28" s="412"/>
    </row>
    <row r="29" spans="1:57" ht="18.75" customHeight="1" thickTop="1">
      <c r="A29" s="210"/>
      <c r="B29" s="234" t="s">
        <v>80</v>
      </c>
      <c r="C29" s="235"/>
      <c r="D29" s="235" t="s">
        <v>54</v>
      </c>
      <c r="E29" s="337">
        <f aca="true" t="shared" si="4" ref="E29:E43">+F29+G29+I29+J29+H29</f>
        <v>2</v>
      </c>
      <c r="F29" s="237">
        <f t="shared" si="1"/>
        <v>2</v>
      </c>
      <c r="G29" s="237">
        <f>Hovedark!$F$29</f>
        <v>0</v>
      </c>
      <c r="H29" s="237"/>
      <c r="I29" s="237"/>
      <c r="J29" s="237"/>
      <c r="K29" s="257"/>
      <c r="L29" s="257"/>
      <c r="M29" s="257"/>
      <c r="N29" s="258">
        <v>74</v>
      </c>
      <c r="O29" s="18"/>
      <c r="P29" s="53" t="str">
        <f>Hovedark!$O$29</f>
        <v>Kombi</v>
      </c>
      <c r="Q29" s="452"/>
      <c r="R29" s="65" t="str">
        <f>P25</f>
        <v>+1 Scimitar</v>
      </c>
      <c r="S29" s="237"/>
      <c r="U29" s="79"/>
      <c r="V29" s="453"/>
      <c r="W29" s="457">
        <f>W25-2</f>
        <v>10</v>
      </c>
      <c r="X29" s="458"/>
      <c r="Y29" s="458" t="str">
        <f>wp1dmg_dice</f>
        <v>d6</v>
      </c>
      <c r="Z29" s="459" t="str">
        <f>Z25</f>
        <v>+8</v>
      </c>
      <c r="AA29" s="449"/>
      <c r="AB29" s="414"/>
      <c r="AC29" s="22"/>
      <c r="AD29" s="412"/>
      <c r="AE29" s="234" t="s">
        <v>80</v>
      </c>
      <c r="AF29" s="235"/>
      <c r="AG29" s="235" t="s">
        <v>54</v>
      </c>
      <c r="AH29" s="236">
        <f aca="true" t="shared" si="5" ref="AH29:AH41">+AI29+AJ29+AL29+AM29+AK29</f>
        <v>2</v>
      </c>
      <c r="AI29" s="237">
        <f t="shared" si="3"/>
        <v>2</v>
      </c>
      <c r="AJ29" s="237">
        <f>Hovedark!$F$29</f>
        <v>0</v>
      </c>
      <c r="AK29" s="237"/>
      <c r="AL29" s="237"/>
      <c r="AM29" s="237"/>
      <c r="AN29" s="257"/>
      <c r="AO29" s="257"/>
      <c r="AP29" s="257"/>
      <c r="AQ29" s="258">
        <v>74</v>
      </c>
      <c r="AR29" s="18"/>
      <c r="AS29" s="53" t="str">
        <f>Hovedark!$O$29</f>
        <v>Kombi</v>
      </c>
      <c r="AT29" s="452"/>
      <c r="AU29" s="65" t="str">
        <f>AS25</f>
        <v>+1 Scimitar</v>
      </c>
      <c r="AV29" s="237"/>
      <c r="AW29" s="453"/>
      <c r="AX29" s="59"/>
      <c r="AY29" s="453"/>
      <c r="AZ29" s="464">
        <f>AZ25-2</f>
        <v>7</v>
      </c>
      <c r="BA29" s="465"/>
      <c r="BB29" s="466" t="str">
        <f>wp1dmg_dice</f>
        <v>d6</v>
      </c>
      <c r="BC29" s="467" t="str">
        <f>BC25</f>
        <v>+5</v>
      </c>
      <c r="BD29" s="449"/>
      <c r="BE29" s="412"/>
    </row>
    <row r="30" spans="1:57" ht="18.75" customHeight="1" thickBot="1">
      <c r="A30" s="210"/>
      <c r="B30" s="234" t="s">
        <v>23</v>
      </c>
      <c r="C30" s="235"/>
      <c r="D30" s="235" t="s">
        <v>55</v>
      </c>
      <c r="E30" s="337">
        <f t="shared" si="4"/>
        <v>-2</v>
      </c>
      <c r="F30" s="237">
        <f t="shared" si="1"/>
        <v>-2</v>
      </c>
      <c r="G30" s="237">
        <f>Hovedark!$F$30</f>
        <v>0</v>
      </c>
      <c r="H30" s="237"/>
      <c r="I30" s="237"/>
      <c r="J30" s="237"/>
      <c r="K30" s="257"/>
      <c r="L30" s="257"/>
      <c r="M30" s="257"/>
      <c r="N30" s="258">
        <v>74</v>
      </c>
      <c r="O30" s="18"/>
      <c r="P30" s="443" t="str">
        <f>Hovedark!$O$30</f>
        <v>Kræver full round</v>
      </c>
      <c r="Q30" s="79"/>
      <c r="R30" s="65" t="s">
        <v>193</v>
      </c>
      <c r="S30" s="237"/>
      <c r="U30" s="79" t="s">
        <v>174</v>
      </c>
      <c r="V30" s="453"/>
      <c r="W30" s="460">
        <f>+mRmod-2</f>
        <v>9</v>
      </c>
      <c r="X30" s="461"/>
      <c r="Y30" s="461" t="str">
        <f>Y29</f>
        <v>d6</v>
      </c>
      <c r="Z30" s="462" t="str">
        <f>"+"&amp;CEILING(strRmod/2,1)</f>
        <v>+4</v>
      </c>
      <c r="AA30" s="450"/>
      <c r="AB30" s="419"/>
      <c r="AC30" s="343"/>
      <c r="AD30" s="412"/>
      <c r="AE30" s="234" t="s">
        <v>23</v>
      </c>
      <c r="AF30" s="235"/>
      <c r="AG30" s="235" t="s">
        <v>55</v>
      </c>
      <c r="AH30" s="236">
        <f t="shared" si="5"/>
        <v>-2</v>
      </c>
      <c r="AI30" s="237">
        <f t="shared" si="3"/>
        <v>-2</v>
      </c>
      <c r="AJ30" s="237">
        <f>Hovedark!$F$30</f>
        <v>0</v>
      </c>
      <c r="AK30" s="237"/>
      <c r="AL30" s="237"/>
      <c r="AM30" s="237"/>
      <c r="AN30" s="257"/>
      <c r="AO30" s="257"/>
      <c r="AP30" s="257"/>
      <c r="AQ30" s="258">
        <v>74</v>
      </c>
      <c r="AR30" s="18"/>
      <c r="AS30" s="443" t="str">
        <f>Hovedark!$O$30</f>
        <v>Kræver full round</v>
      </c>
      <c r="AT30" s="79"/>
      <c r="AU30" s="65" t="s">
        <v>193</v>
      </c>
      <c r="AV30" s="79"/>
      <c r="AX30" s="79" t="s">
        <v>174</v>
      </c>
      <c r="AY30" s="79"/>
      <c r="AZ30" s="468">
        <f>AL11-2</f>
        <v>6</v>
      </c>
      <c r="BA30" s="469"/>
      <c r="BB30" s="470" t="str">
        <f>wp1dmg_dice</f>
        <v>d6</v>
      </c>
      <c r="BC30" s="471" t="str">
        <f>"+"&amp;CEILING(BC25/2,1)</f>
        <v>+3</v>
      </c>
      <c r="BD30" s="450"/>
      <c r="BE30" s="412"/>
    </row>
    <row r="31" spans="1:57" ht="18.75" customHeight="1" thickBot="1" thickTop="1">
      <c r="A31" s="210"/>
      <c r="B31" s="234" t="s">
        <v>28</v>
      </c>
      <c r="C31" s="235"/>
      <c r="D31" s="235" t="s">
        <v>58</v>
      </c>
      <c r="E31" s="236">
        <f t="shared" si="4"/>
        <v>1</v>
      </c>
      <c r="F31" s="237">
        <f t="shared" si="1"/>
        <v>1</v>
      </c>
      <c r="G31" s="237">
        <f>Hovedark!$F$31</f>
        <v>0</v>
      </c>
      <c r="H31" s="237"/>
      <c r="I31" s="237"/>
      <c r="J31" s="237"/>
      <c r="K31" s="257"/>
      <c r="L31" s="257"/>
      <c r="M31" s="257"/>
      <c r="N31" s="258">
        <v>75</v>
      </c>
      <c r="O31" s="18"/>
      <c r="P31" s="97"/>
      <c r="Q31" s="17"/>
      <c r="R31" s="17"/>
      <c r="S31" s="22"/>
      <c r="T31" s="17"/>
      <c r="U31" s="17"/>
      <c r="V31" s="17"/>
      <c r="W31" s="17"/>
      <c r="X31" s="17"/>
      <c r="Y31" s="17"/>
      <c r="Z31" s="17"/>
      <c r="AA31" s="144"/>
      <c r="AB31" s="420"/>
      <c r="AC31" s="174"/>
      <c r="AD31" s="412"/>
      <c r="AE31" s="234" t="s">
        <v>28</v>
      </c>
      <c r="AF31" s="235"/>
      <c r="AG31" s="235" t="s">
        <v>58</v>
      </c>
      <c r="AH31" s="236">
        <f t="shared" si="5"/>
        <v>1</v>
      </c>
      <c r="AI31" s="237">
        <f t="shared" si="3"/>
        <v>1</v>
      </c>
      <c r="AJ31" s="237">
        <f>Hovedark!$F$31</f>
        <v>0</v>
      </c>
      <c r="AK31" s="237"/>
      <c r="AL31" s="237"/>
      <c r="AM31" s="237"/>
      <c r="AN31" s="257"/>
      <c r="AO31" s="257"/>
      <c r="AP31" s="257"/>
      <c r="AQ31" s="258">
        <v>75</v>
      </c>
      <c r="AR31" s="18"/>
      <c r="AS31" s="97"/>
      <c r="AT31" s="17"/>
      <c r="AU31" s="17"/>
      <c r="AV31" s="22"/>
      <c r="AW31" s="17"/>
      <c r="AX31" s="17"/>
      <c r="AY31" s="17"/>
      <c r="AZ31" s="17"/>
      <c r="BA31" s="17"/>
      <c r="BB31" s="17"/>
      <c r="BC31" s="17"/>
      <c r="BD31" s="144"/>
      <c r="BE31" s="412"/>
    </row>
    <row r="32" spans="1:57" ht="18.75" customHeight="1" thickBot="1">
      <c r="A32" s="210"/>
      <c r="B32" s="234" t="s">
        <v>29</v>
      </c>
      <c r="C32" s="235"/>
      <c r="D32" s="235" t="s">
        <v>57</v>
      </c>
      <c r="E32" s="337">
        <f t="shared" si="4"/>
        <v>2</v>
      </c>
      <c r="F32" s="237">
        <f t="shared" si="1"/>
        <v>3</v>
      </c>
      <c r="G32" s="237">
        <f>Hovedark!$F$32</f>
        <v>0</v>
      </c>
      <c r="H32" s="237">
        <f>Hovedark!$G$32</f>
        <v>-1</v>
      </c>
      <c r="I32" s="237"/>
      <c r="J32" s="237"/>
      <c r="K32" s="263"/>
      <c r="L32" s="257"/>
      <c r="M32" s="257"/>
      <c r="N32" s="258">
        <v>76</v>
      </c>
      <c r="O32" s="18"/>
      <c r="P32" s="132" t="str">
        <f>Hovedark!$O$32</f>
        <v>+1 rep. Crossbow</v>
      </c>
      <c r="Q32" s="22"/>
      <c r="R32" s="311"/>
      <c r="S32" s="229">
        <f>Hovedark!$R$32</f>
        <v>120</v>
      </c>
      <c r="T32" s="230">
        <f>wp2attbonus</f>
        <v>1</v>
      </c>
      <c r="U32" s="230">
        <f>wp2attbonus</f>
        <v>1</v>
      </c>
      <c r="V32" s="1"/>
      <c r="W32" s="307">
        <f>IF(wp3type="M",mRmod,rRmod)+wp3attbonus</f>
        <v>8</v>
      </c>
      <c r="X32" s="308"/>
      <c r="Y32" s="305" t="str">
        <f>wp3dmg_dice</f>
        <v>d10</v>
      </c>
      <c r="Z32" s="306" t="str">
        <f>IF(wp3type="P","+"&amp;wp3dmgbonus,(IF((strmod+wp3dmgbonus)&gt;0,"+"&amp;(strmod+wp3dmgbonus),IF((strmod+wp3dmgbonus)&lt;0,(strmod+wp3dmgbonus),""))))</f>
        <v>+1</v>
      </c>
      <c r="AA32" s="145"/>
      <c r="AB32" s="418"/>
      <c r="AC32" s="342"/>
      <c r="AD32" s="412"/>
      <c r="AE32" s="234" t="s">
        <v>29</v>
      </c>
      <c r="AF32" s="235"/>
      <c r="AG32" s="235" t="s">
        <v>57</v>
      </c>
      <c r="AH32" s="377">
        <f t="shared" si="5"/>
        <v>1</v>
      </c>
      <c r="AI32" s="237">
        <f t="shared" si="3"/>
        <v>2</v>
      </c>
      <c r="AJ32" s="237">
        <f>Hovedark!$F$32</f>
        <v>0</v>
      </c>
      <c r="AK32" s="237">
        <f>Hovedark!$G$32</f>
        <v>-1</v>
      </c>
      <c r="AL32" s="237"/>
      <c r="AM32" s="237"/>
      <c r="AN32" s="263"/>
      <c r="AO32" s="257"/>
      <c r="AP32" s="257"/>
      <c r="AQ32" s="258">
        <v>76</v>
      </c>
      <c r="AR32" s="18"/>
      <c r="AS32" s="132" t="str">
        <f>Hovedark!$O$32</f>
        <v>+1 rep. Crossbow</v>
      </c>
      <c r="AT32" s="22"/>
      <c r="AU32" s="311"/>
      <c r="AV32" s="229">
        <f>Hovedark!$R$32</f>
        <v>120</v>
      </c>
      <c r="AW32" s="230">
        <f>wp2attbonus</f>
        <v>1</v>
      </c>
      <c r="AX32" s="230">
        <f>wp2attbonus</f>
        <v>1</v>
      </c>
      <c r="AY32" s="1"/>
      <c r="AZ32" s="400">
        <f>IF(wp3type="M",mRmod,rRmod)+wp3attbonus</f>
        <v>8</v>
      </c>
      <c r="BA32" s="401"/>
      <c r="BB32" s="402" t="str">
        <f>wp3dmg_dice</f>
        <v>d10</v>
      </c>
      <c r="BC32" s="403" t="str">
        <f>IF(wp3type="P","+"&amp;wp3dmgbonus,(IF((strmod+wp3dmgbonus)&gt;0,"+"&amp;(strmod+wp3dmgbonus),IF((strmod+wp3dmgbonus)&lt;0,(strmod+wp3dmgbonus),""))))</f>
        <v>+1</v>
      </c>
      <c r="BD32" s="145"/>
      <c r="BE32" s="412"/>
    </row>
    <row r="33" spans="1:57" ht="18.75" customHeight="1" thickBot="1">
      <c r="A33" s="210"/>
      <c r="B33" s="234" t="s">
        <v>30</v>
      </c>
      <c r="C33" s="235"/>
      <c r="D33" s="235" t="s">
        <v>55</v>
      </c>
      <c r="E33" s="236">
        <f t="shared" si="4"/>
        <v>2</v>
      </c>
      <c r="F33" s="237">
        <f t="shared" si="1"/>
        <v>-2</v>
      </c>
      <c r="G33" s="237">
        <f>Hovedark!$F$33</f>
        <v>4</v>
      </c>
      <c r="H33" s="237"/>
      <c r="I33" s="237"/>
      <c r="J33" s="237"/>
      <c r="K33" s="257"/>
      <c r="L33" s="257"/>
      <c r="M33" s="257"/>
      <c r="N33" s="258">
        <v>76</v>
      </c>
      <c r="O33" s="18"/>
      <c r="P33" s="97"/>
      <c r="Q33" s="79" t="s">
        <v>50</v>
      </c>
      <c r="R33" s="79" t="str">
        <f>Hovedark!$Q$33</f>
        <v>Heavy</v>
      </c>
      <c r="S33" s="79"/>
      <c r="T33" s="79" t="s">
        <v>49</v>
      </c>
      <c r="U33" s="79" t="str">
        <f>Hovedark!$T$33</f>
        <v>19-20/x2</v>
      </c>
      <c r="V33" s="79"/>
      <c r="W33" s="79"/>
      <c r="X33" s="79" t="s">
        <v>165</v>
      </c>
      <c r="Y33" s="79" t="str">
        <f>wp3type</f>
        <v>P</v>
      </c>
      <c r="Z33" s="79" t="s">
        <v>52</v>
      </c>
      <c r="AA33" s="143">
        <f>wp3wgt</f>
        <v>12</v>
      </c>
      <c r="AB33" s="419"/>
      <c r="AC33" s="343"/>
      <c r="AD33" s="412"/>
      <c r="AE33" s="234" t="s">
        <v>30</v>
      </c>
      <c r="AF33" s="235"/>
      <c r="AG33" s="235" t="s">
        <v>55</v>
      </c>
      <c r="AH33" s="236">
        <f t="shared" si="5"/>
        <v>2</v>
      </c>
      <c r="AI33" s="237">
        <f t="shared" si="3"/>
        <v>-2</v>
      </c>
      <c r="AJ33" s="237">
        <f>Hovedark!$F$33</f>
        <v>4</v>
      </c>
      <c r="AK33" s="237"/>
      <c r="AL33" s="237"/>
      <c r="AM33" s="237"/>
      <c r="AN33" s="257"/>
      <c r="AO33" s="257"/>
      <c r="AP33" s="257"/>
      <c r="AQ33" s="258">
        <v>76</v>
      </c>
      <c r="AR33" s="18"/>
      <c r="AS33" s="97"/>
      <c r="AT33" s="79" t="s">
        <v>50</v>
      </c>
      <c r="AU33" s="79" t="str">
        <f>Hovedark!$Q$33</f>
        <v>Heavy</v>
      </c>
      <c r="AV33" s="79"/>
      <c r="AW33" s="79" t="s">
        <v>49</v>
      </c>
      <c r="AX33" s="79" t="str">
        <f>Hovedark!$T$33</f>
        <v>19-20/x2</v>
      </c>
      <c r="AY33" s="79"/>
      <c r="AZ33" s="79"/>
      <c r="BA33" s="79" t="s">
        <v>165</v>
      </c>
      <c r="BB33" s="79" t="str">
        <f>wp3type</f>
        <v>P</v>
      </c>
      <c r="BC33" s="79" t="s">
        <v>52</v>
      </c>
      <c r="BD33" s="143">
        <f>wp3wgt</f>
        <v>12</v>
      </c>
      <c r="BE33" s="412"/>
    </row>
    <row r="34" spans="1:57" ht="18.75" customHeight="1" thickBot="1">
      <c r="A34" s="210"/>
      <c r="B34" s="234" t="s">
        <v>31</v>
      </c>
      <c r="C34" s="235"/>
      <c r="D34" s="235" t="s">
        <v>60</v>
      </c>
      <c r="E34" s="322">
        <f t="shared" si="4"/>
        <v>12</v>
      </c>
      <c r="F34" s="237">
        <f t="shared" si="1"/>
        <v>7</v>
      </c>
      <c r="G34" s="237">
        <f>Hovedark!$F$34</f>
        <v>6</v>
      </c>
      <c r="H34" s="237">
        <f>Hovedark!$G$34</f>
        <v>-1</v>
      </c>
      <c r="I34" s="237"/>
      <c r="J34" s="237"/>
      <c r="K34" s="257"/>
      <c r="L34" s="257"/>
      <c r="M34" s="257"/>
      <c r="N34" s="258">
        <v>77</v>
      </c>
      <c r="O34" s="18"/>
      <c r="P34" s="97"/>
      <c r="Q34" s="79" t="s">
        <v>51</v>
      </c>
      <c r="R34" s="158"/>
      <c r="S34" s="79"/>
      <c r="T34" s="79"/>
      <c r="U34" s="79"/>
      <c r="V34" s="79"/>
      <c r="W34" s="79"/>
      <c r="X34" s="79"/>
      <c r="Y34" s="79"/>
      <c r="Z34" s="79"/>
      <c r="AA34" s="117"/>
      <c r="AB34" s="415"/>
      <c r="AC34" s="79"/>
      <c r="AD34" s="412"/>
      <c r="AE34" s="234" t="s">
        <v>31</v>
      </c>
      <c r="AF34" s="235"/>
      <c r="AG34" s="235" t="s">
        <v>60</v>
      </c>
      <c r="AH34" s="377">
        <f t="shared" si="5"/>
        <v>9</v>
      </c>
      <c r="AI34" s="237">
        <f t="shared" si="3"/>
        <v>4</v>
      </c>
      <c r="AJ34" s="237">
        <f>Hovedark!$F$34</f>
        <v>6</v>
      </c>
      <c r="AK34" s="237">
        <f>Hovedark!$G$34</f>
        <v>-1</v>
      </c>
      <c r="AL34" s="237"/>
      <c r="AM34" s="237"/>
      <c r="AN34" s="472" t="s">
        <v>291</v>
      </c>
      <c r="AO34" s="257"/>
      <c r="AP34" s="257"/>
      <c r="AQ34" s="258">
        <v>77</v>
      </c>
      <c r="AR34" s="18"/>
      <c r="AS34" s="97"/>
      <c r="AT34" s="79" t="s">
        <v>51</v>
      </c>
      <c r="AU34" s="158"/>
      <c r="AV34" s="79"/>
      <c r="AW34" s="79"/>
      <c r="AX34" s="79"/>
      <c r="AY34" s="79"/>
      <c r="AZ34" s="79"/>
      <c r="BA34" s="79"/>
      <c r="BB34" s="79"/>
      <c r="BC34" s="79"/>
      <c r="BD34" s="117"/>
      <c r="BE34" s="412"/>
    </row>
    <row r="35" spans="1:57" ht="18.75" customHeight="1" thickBot="1">
      <c r="A35" s="210"/>
      <c r="B35" s="234" t="s">
        <v>32</v>
      </c>
      <c r="C35" s="235"/>
      <c r="D35" s="235" t="s">
        <v>58</v>
      </c>
      <c r="E35" s="337">
        <f t="shared" si="4"/>
        <v>3</v>
      </c>
      <c r="F35" s="237">
        <f t="shared" si="1"/>
        <v>1</v>
      </c>
      <c r="G35" s="237">
        <f>Hovedark!$F$35</f>
        <v>2</v>
      </c>
      <c r="H35" s="237"/>
      <c r="I35" s="237"/>
      <c r="J35" s="237"/>
      <c r="K35" s="263"/>
      <c r="L35" s="257"/>
      <c r="M35" s="257"/>
      <c r="N35" s="258">
        <v>78</v>
      </c>
      <c r="O35" s="18"/>
      <c r="P35" s="5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36"/>
      <c r="AB35" s="414"/>
      <c r="AC35" s="22"/>
      <c r="AD35" s="412"/>
      <c r="AE35" s="234" t="s">
        <v>32</v>
      </c>
      <c r="AF35" s="235"/>
      <c r="AG35" s="235" t="s">
        <v>58</v>
      </c>
      <c r="AH35" s="236">
        <f t="shared" si="5"/>
        <v>3</v>
      </c>
      <c r="AI35" s="237">
        <f t="shared" si="3"/>
        <v>1</v>
      </c>
      <c r="AJ35" s="237">
        <f>Hovedark!$F$35</f>
        <v>2</v>
      </c>
      <c r="AK35" s="237"/>
      <c r="AL35" s="237"/>
      <c r="AM35" s="237"/>
      <c r="AN35" s="263"/>
      <c r="AO35" s="257"/>
      <c r="AP35" s="257"/>
      <c r="AQ35" s="258">
        <v>78</v>
      </c>
      <c r="AR35" s="18"/>
      <c r="AS35" s="51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36"/>
      <c r="BE35" s="412"/>
    </row>
    <row r="36" spans="1:57" ht="18.75" customHeight="1" thickBot="1">
      <c r="A36" s="210"/>
      <c r="B36" s="234" t="s">
        <v>33</v>
      </c>
      <c r="C36" s="235"/>
      <c r="D36" s="235" t="s">
        <v>57</v>
      </c>
      <c r="E36" s="337">
        <f t="shared" si="4"/>
        <v>2</v>
      </c>
      <c r="F36" s="237">
        <f t="shared" si="1"/>
        <v>3</v>
      </c>
      <c r="G36" s="237">
        <f>Hovedark!$F$36</f>
        <v>0</v>
      </c>
      <c r="H36" s="237">
        <f>Hovedark!$G$36</f>
        <v>-1</v>
      </c>
      <c r="I36" s="237"/>
      <c r="J36" s="237"/>
      <c r="K36" s="257"/>
      <c r="L36" s="257"/>
      <c r="M36" s="257"/>
      <c r="N36" s="258">
        <v>79</v>
      </c>
      <c r="O36" s="18"/>
      <c r="P36" s="53" t="str">
        <f>Hovedark!$O$36</f>
        <v>Harpun</v>
      </c>
      <c r="Q36" s="22"/>
      <c r="R36" s="22"/>
      <c r="S36" s="312"/>
      <c r="T36" s="230"/>
      <c r="U36" s="230"/>
      <c r="V36" s="1"/>
      <c r="W36" s="307">
        <f>IF(wp4type="M",mRmod,rRmod)+wp4attbonus</f>
        <v>3</v>
      </c>
      <c r="X36" s="310"/>
      <c r="Y36" s="329" t="str">
        <f>wp4dmg_dice</f>
        <v>d10</v>
      </c>
      <c r="Z36" s="330" t="str">
        <f>IF(wp2type="P","+"&amp;wp2dmgbonus,(IF((strRmod+wp2dmgbonus)&gt;0,"+"&amp;(strRmod+wp2dmgbonus),IF((strRmod+wp2dmgbonus)&lt;0,(strRmod+wp2dmgbonus),""))))</f>
        <v>+8</v>
      </c>
      <c r="AA36" s="36"/>
      <c r="AB36" s="414"/>
      <c r="AC36" s="22"/>
      <c r="AD36" s="412"/>
      <c r="AE36" s="234" t="s">
        <v>33</v>
      </c>
      <c r="AF36" s="235"/>
      <c r="AG36" s="235" t="s">
        <v>57</v>
      </c>
      <c r="AH36" s="377">
        <f t="shared" si="5"/>
        <v>1</v>
      </c>
      <c r="AI36" s="237">
        <f t="shared" si="3"/>
        <v>2</v>
      </c>
      <c r="AJ36" s="237">
        <f>Hovedark!$F$36</f>
        <v>0</v>
      </c>
      <c r="AK36" s="237">
        <f>Hovedark!$G$36</f>
        <v>-1</v>
      </c>
      <c r="AL36" s="237"/>
      <c r="AM36" s="237"/>
      <c r="AN36" s="257"/>
      <c r="AO36" s="257"/>
      <c r="AP36" s="257"/>
      <c r="AQ36" s="258">
        <v>79</v>
      </c>
      <c r="AR36" s="18"/>
      <c r="AS36" s="53" t="str">
        <f>Hovedark!$O$36</f>
        <v>Harpun</v>
      </c>
      <c r="AT36" s="22"/>
      <c r="AU36" s="22"/>
      <c r="AV36" s="312"/>
      <c r="AW36" s="230"/>
      <c r="AX36" s="230"/>
      <c r="AY36" s="1"/>
      <c r="AZ36" s="400">
        <f>IF(wp4type="M",mRmod,rmod)+wp4attbonus</f>
        <v>3</v>
      </c>
      <c r="BA36" s="404"/>
      <c r="BB36" s="402" t="str">
        <f>wp4dmg_dice</f>
        <v>d10</v>
      </c>
      <c r="BC36" s="403" t="str">
        <f>IF(wp2type="P","+"&amp;wp2dmgbonus,(IF((strRmod+wp2dmgbonus)&gt;0,"+"&amp;(strRmod+wp2dmgbonus),IF((strRmod+wp2dmgbonus)&lt;0,(strRmod+wp2dmgbonus),""))))</f>
        <v>+8</v>
      </c>
      <c r="BD36" s="36"/>
      <c r="BE36" s="412"/>
    </row>
    <row r="37" spans="1:57" ht="18.75" customHeight="1" thickBot="1">
      <c r="A37" s="210"/>
      <c r="B37" s="234" t="s">
        <v>34</v>
      </c>
      <c r="C37" s="235"/>
      <c r="D37" s="235" t="s">
        <v>55</v>
      </c>
      <c r="E37" s="337">
        <f t="shared" si="4"/>
        <v>-2</v>
      </c>
      <c r="F37" s="237">
        <f t="shared" si="1"/>
        <v>-2</v>
      </c>
      <c r="G37" s="237">
        <f>Hovedark!$F$37</f>
        <v>0</v>
      </c>
      <c r="H37" s="237"/>
      <c r="I37" s="237"/>
      <c r="J37" s="237"/>
      <c r="K37" s="257"/>
      <c r="L37" s="257"/>
      <c r="M37" s="257"/>
      <c r="N37" s="258">
        <v>79</v>
      </c>
      <c r="O37" s="18"/>
      <c r="P37" s="51"/>
      <c r="Q37" s="79" t="s">
        <v>50</v>
      </c>
      <c r="R37" s="79" t="str">
        <f>Hovedark!$Q$37</f>
        <v>M</v>
      </c>
      <c r="S37" s="79"/>
      <c r="T37" s="79" t="s">
        <v>49</v>
      </c>
      <c r="U37" s="79" t="str">
        <f>Hovedark!$T$37</f>
        <v>x2</v>
      </c>
      <c r="V37" s="79"/>
      <c r="W37" s="79"/>
      <c r="X37" s="79" t="s">
        <v>165</v>
      </c>
      <c r="Y37" s="79" t="str">
        <f>wp4type</f>
        <v>T</v>
      </c>
      <c r="Z37" s="79" t="s">
        <v>52</v>
      </c>
      <c r="AA37" s="143">
        <f>wp4wgt</f>
        <v>10</v>
      </c>
      <c r="AB37" s="419"/>
      <c r="AC37" s="343"/>
      <c r="AD37" s="412"/>
      <c r="AE37" s="234" t="s">
        <v>34</v>
      </c>
      <c r="AF37" s="235"/>
      <c r="AG37" s="235" t="s">
        <v>55</v>
      </c>
      <c r="AH37" s="236">
        <f t="shared" si="5"/>
        <v>-2</v>
      </c>
      <c r="AI37" s="237">
        <f t="shared" si="3"/>
        <v>-2</v>
      </c>
      <c r="AJ37" s="237">
        <f>Hovedark!$F$37</f>
        <v>0</v>
      </c>
      <c r="AK37" s="237"/>
      <c r="AL37" s="237"/>
      <c r="AM37" s="237"/>
      <c r="AN37" s="257"/>
      <c r="AO37" s="257"/>
      <c r="AP37" s="257"/>
      <c r="AQ37" s="258">
        <v>79</v>
      </c>
      <c r="AR37" s="18"/>
      <c r="AS37" s="51"/>
      <c r="AT37" s="79" t="s">
        <v>50</v>
      </c>
      <c r="AU37" s="79" t="str">
        <f>Hovedark!$Q$37</f>
        <v>M</v>
      </c>
      <c r="AV37" s="79"/>
      <c r="AW37" s="79" t="s">
        <v>49</v>
      </c>
      <c r="AX37" s="79" t="str">
        <f>Hovedark!$T$37</f>
        <v>x2</v>
      </c>
      <c r="AY37" s="79"/>
      <c r="AZ37" s="79"/>
      <c r="BA37" s="79" t="s">
        <v>165</v>
      </c>
      <c r="BB37" s="79" t="str">
        <f>wp4type</f>
        <v>T</v>
      </c>
      <c r="BC37" s="79" t="s">
        <v>52</v>
      </c>
      <c r="BD37" s="143">
        <f>wp4wgt</f>
        <v>10</v>
      </c>
      <c r="BE37" s="412"/>
    </row>
    <row r="38" spans="1:57" ht="18.75" customHeight="1" thickBot="1">
      <c r="A38" s="210"/>
      <c r="B38" s="234" t="s">
        <v>35</v>
      </c>
      <c r="C38" s="235"/>
      <c r="D38" s="235" t="s">
        <v>57</v>
      </c>
      <c r="E38" s="236">
        <f t="shared" si="4"/>
        <v>3</v>
      </c>
      <c r="F38" s="237">
        <f t="shared" si="1"/>
        <v>3</v>
      </c>
      <c r="G38" s="237">
        <f>Hovedark!$F$38</f>
        <v>0</v>
      </c>
      <c r="H38" s="237"/>
      <c r="I38" s="237"/>
      <c r="J38" s="237"/>
      <c r="K38" s="257"/>
      <c r="L38" s="257"/>
      <c r="M38" s="257"/>
      <c r="N38" s="258">
        <v>80</v>
      </c>
      <c r="O38" s="18"/>
      <c r="P38" s="89"/>
      <c r="Q38" s="98" t="s">
        <v>51</v>
      </c>
      <c r="R38" s="98" t="str">
        <f>Hovedark!$Q$38</f>
        <v>Sidder fast i fjende = ½ speed, ikke løbe. Fjerne m. samme dmg. Hvis reb da max 30 fod.  </v>
      </c>
      <c r="S38" s="98"/>
      <c r="T38" s="98"/>
      <c r="U38" s="98"/>
      <c r="V38" s="98"/>
      <c r="W38" s="98"/>
      <c r="X38" s="98"/>
      <c r="Y38" s="98"/>
      <c r="Z38" s="98"/>
      <c r="AA38" s="118"/>
      <c r="AB38" s="415"/>
      <c r="AC38" s="79"/>
      <c r="AD38" s="412"/>
      <c r="AE38" s="234" t="s">
        <v>35</v>
      </c>
      <c r="AF38" s="235"/>
      <c r="AG38" s="235" t="s">
        <v>57</v>
      </c>
      <c r="AH38" s="377">
        <f t="shared" si="5"/>
        <v>2</v>
      </c>
      <c r="AI38" s="237">
        <f t="shared" si="3"/>
        <v>2</v>
      </c>
      <c r="AJ38" s="237">
        <f>Hovedark!$F$38</f>
        <v>0</v>
      </c>
      <c r="AK38" s="237"/>
      <c r="AL38" s="237"/>
      <c r="AM38" s="237"/>
      <c r="AN38" s="257"/>
      <c r="AO38" s="257"/>
      <c r="AP38" s="257"/>
      <c r="AQ38" s="258">
        <v>80</v>
      </c>
      <c r="AR38" s="18"/>
      <c r="AS38" s="89"/>
      <c r="AT38" s="98" t="s">
        <v>51</v>
      </c>
      <c r="AU38" s="98" t="str">
        <f>Hovedark!$Q$38</f>
        <v>Sidder fast i fjende = ½ speed, ikke løbe. Fjerne m. samme dmg. Hvis reb da max 30 fod.  </v>
      </c>
      <c r="AV38" s="98"/>
      <c r="AW38" s="98"/>
      <c r="AX38" s="98"/>
      <c r="AY38" s="98"/>
      <c r="AZ38" s="98"/>
      <c r="BA38" s="98"/>
      <c r="BB38" s="98"/>
      <c r="BC38" s="98"/>
      <c r="BD38" s="118"/>
      <c r="BE38" s="412"/>
    </row>
    <row r="39" spans="1:57" ht="18.75" customHeight="1">
      <c r="A39" s="210"/>
      <c r="B39" s="234" t="s">
        <v>36</v>
      </c>
      <c r="C39" s="235"/>
      <c r="D39" s="235" t="s">
        <v>54</v>
      </c>
      <c r="E39" s="337">
        <f t="shared" si="4"/>
        <v>2</v>
      </c>
      <c r="F39" s="237">
        <f t="shared" si="1"/>
        <v>2</v>
      </c>
      <c r="G39" s="237">
        <f>Hovedark!$F$39</f>
        <v>0</v>
      </c>
      <c r="H39" s="237"/>
      <c r="I39" s="237"/>
      <c r="J39" s="237"/>
      <c r="K39" s="350" t="str">
        <f>Hovedark!$J$39</f>
        <v>+2 with stones</v>
      </c>
      <c r="L39" s="316"/>
      <c r="M39" s="9"/>
      <c r="N39" s="258">
        <v>15</v>
      </c>
      <c r="O39" s="18"/>
      <c r="P39" s="22"/>
      <c r="Q39" s="99" t="s">
        <v>167</v>
      </c>
      <c r="R39" s="18"/>
      <c r="S39" s="17"/>
      <c r="T39" s="17"/>
      <c r="U39" s="17"/>
      <c r="V39" s="17"/>
      <c r="W39" s="22"/>
      <c r="X39" s="22"/>
      <c r="Y39" s="22"/>
      <c r="Z39" s="22"/>
      <c r="AA39" s="22"/>
      <c r="AB39" s="414"/>
      <c r="AC39" s="22"/>
      <c r="AD39" s="412"/>
      <c r="AE39" s="234" t="s">
        <v>36</v>
      </c>
      <c r="AF39" s="235"/>
      <c r="AG39" s="235" t="s">
        <v>54</v>
      </c>
      <c r="AH39" s="236">
        <f t="shared" si="5"/>
        <v>2</v>
      </c>
      <c r="AI39" s="237">
        <f t="shared" si="3"/>
        <v>2</v>
      </c>
      <c r="AJ39" s="237">
        <f>Hovedark!$F$39</f>
        <v>0</v>
      </c>
      <c r="AK39" s="237"/>
      <c r="AL39" s="237"/>
      <c r="AM39" s="237"/>
      <c r="AN39" s="350" t="str">
        <f>Hovedark!$J$39</f>
        <v>+2 with stones</v>
      </c>
      <c r="AO39" s="316"/>
      <c r="AP39" s="9"/>
      <c r="AQ39" s="258">
        <v>15</v>
      </c>
      <c r="AR39" s="18"/>
      <c r="AS39" s="22"/>
      <c r="AT39" s="99" t="s">
        <v>167</v>
      </c>
      <c r="AU39" s="18"/>
      <c r="AV39" s="17"/>
      <c r="AW39" s="17"/>
      <c r="AX39" s="17"/>
      <c r="AY39" s="17"/>
      <c r="AZ39" s="22"/>
      <c r="BA39" s="22"/>
      <c r="BB39" s="22"/>
      <c r="BC39" s="22"/>
      <c r="BD39" s="22"/>
      <c r="BE39" s="412"/>
    </row>
    <row r="40" spans="1:57" ht="18.75" customHeight="1">
      <c r="A40" s="210"/>
      <c r="B40" s="234" t="s">
        <v>37</v>
      </c>
      <c r="C40" s="235"/>
      <c r="D40" s="235" t="s">
        <v>58</v>
      </c>
      <c r="E40" s="236">
        <f t="shared" si="4"/>
        <v>1</v>
      </c>
      <c r="F40" s="237">
        <f t="shared" si="1"/>
        <v>1</v>
      </c>
      <c r="G40" s="237">
        <f>Hovedark!$F$40</f>
        <v>0</v>
      </c>
      <c r="H40" s="237"/>
      <c r="I40" s="237"/>
      <c r="J40" s="237"/>
      <c r="K40" s="257"/>
      <c r="L40" s="257"/>
      <c r="M40" s="257"/>
      <c r="N40" s="258">
        <v>81</v>
      </c>
      <c r="O40" s="1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70"/>
      <c r="AC40" s="9"/>
      <c r="AD40" s="412"/>
      <c r="AE40" s="234" t="s">
        <v>37</v>
      </c>
      <c r="AF40" s="235"/>
      <c r="AG40" s="235" t="s">
        <v>58</v>
      </c>
      <c r="AH40" s="236">
        <f t="shared" si="5"/>
        <v>1</v>
      </c>
      <c r="AI40" s="237">
        <f t="shared" si="3"/>
        <v>1</v>
      </c>
      <c r="AJ40" s="237">
        <f>Hovedark!$F$40</f>
        <v>0</v>
      </c>
      <c r="AK40" s="237"/>
      <c r="AL40" s="237"/>
      <c r="AM40" s="237"/>
      <c r="AN40" s="257"/>
      <c r="AO40" s="257"/>
      <c r="AP40" s="257"/>
      <c r="AQ40" s="258">
        <v>81</v>
      </c>
      <c r="AR40" s="18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412"/>
    </row>
    <row r="41" spans="1:57" ht="18.75" customHeight="1">
      <c r="A41" s="210"/>
      <c r="B41" s="234" t="s">
        <v>38</v>
      </c>
      <c r="C41" s="235"/>
      <c r="D41" s="235" t="s">
        <v>58</v>
      </c>
      <c r="E41" s="236">
        <f t="shared" si="4"/>
        <v>5</v>
      </c>
      <c r="F41" s="237">
        <f t="shared" si="1"/>
        <v>1</v>
      </c>
      <c r="G41" s="237">
        <f>Hovedark!$F$41</f>
        <v>4</v>
      </c>
      <c r="H41" s="237"/>
      <c r="I41" s="237"/>
      <c r="J41" s="237"/>
      <c r="K41" s="263"/>
      <c r="L41" s="257"/>
      <c r="M41" s="257"/>
      <c r="N41" s="258">
        <v>83</v>
      </c>
      <c r="O41" s="18"/>
      <c r="P41" s="41"/>
      <c r="Q41" s="21"/>
      <c r="R41" s="100"/>
      <c r="S41" s="21"/>
      <c r="T41" s="44" t="s">
        <v>78</v>
      </c>
      <c r="U41" s="44" t="s">
        <v>62</v>
      </c>
      <c r="V41" s="169"/>
      <c r="W41" s="44" t="s">
        <v>18</v>
      </c>
      <c r="X41" s="44" t="s">
        <v>64</v>
      </c>
      <c r="Y41" s="44" t="s">
        <v>63</v>
      </c>
      <c r="Z41" s="44"/>
      <c r="AA41" s="170" t="s">
        <v>43</v>
      </c>
      <c r="AB41" s="421"/>
      <c r="AC41" s="410"/>
      <c r="AD41" s="412"/>
      <c r="AE41" s="234" t="s">
        <v>38</v>
      </c>
      <c r="AF41" s="235"/>
      <c r="AG41" s="235" t="s">
        <v>58</v>
      </c>
      <c r="AH41" s="236">
        <f t="shared" si="5"/>
        <v>5</v>
      </c>
      <c r="AI41" s="237">
        <f t="shared" si="3"/>
        <v>1</v>
      </c>
      <c r="AJ41" s="237">
        <f>Hovedark!$F$41</f>
        <v>4</v>
      </c>
      <c r="AK41" s="237"/>
      <c r="AL41" s="237"/>
      <c r="AM41" s="237"/>
      <c r="AN41" s="263"/>
      <c r="AO41" s="257"/>
      <c r="AP41" s="257"/>
      <c r="AQ41" s="258">
        <v>83</v>
      </c>
      <c r="AR41" s="18"/>
      <c r="AS41" s="41"/>
      <c r="AT41" s="21"/>
      <c r="AU41" s="100"/>
      <c r="AV41" s="21"/>
      <c r="AW41" s="44" t="s">
        <v>78</v>
      </c>
      <c r="AX41" s="44" t="s">
        <v>62</v>
      </c>
      <c r="AY41" s="169"/>
      <c r="AZ41" s="44" t="s">
        <v>18</v>
      </c>
      <c r="BA41" s="44" t="s">
        <v>64</v>
      </c>
      <c r="BB41" s="44" t="s">
        <v>63</v>
      </c>
      <c r="BC41" s="44"/>
      <c r="BD41" s="170" t="s">
        <v>43</v>
      </c>
      <c r="BE41" s="412"/>
    </row>
    <row r="42" spans="1:57" ht="18.75" customHeight="1" thickBot="1">
      <c r="A42" s="210"/>
      <c r="B42" s="234" t="s">
        <v>155</v>
      </c>
      <c r="C42" s="235"/>
      <c r="D42" s="235" t="s">
        <v>58</v>
      </c>
      <c r="E42" s="236">
        <f>+F42+G42+I42+J42+H42</f>
        <v>1</v>
      </c>
      <c r="F42" s="237">
        <f t="shared" si="1"/>
        <v>1</v>
      </c>
      <c r="G42" s="237">
        <f>Hovedark!$F$42</f>
        <v>0</v>
      </c>
      <c r="H42" s="237"/>
      <c r="I42" s="237"/>
      <c r="J42" s="237"/>
      <c r="K42" s="257"/>
      <c r="L42" s="257"/>
      <c r="M42" s="257"/>
      <c r="N42" s="258">
        <v>83</v>
      </c>
      <c r="O42" s="18"/>
      <c r="P42" s="132" t="str">
        <f>Hovedark!O42</f>
        <v>+1 Chainshirt</v>
      </c>
      <c r="Q42" s="17"/>
      <c r="R42" s="17"/>
      <c r="S42" s="17"/>
      <c r="T42" s="135" t="str">
        <f>armor1type</f>
        <v>L</v>
      </c>
      <c r="U42" s="135">
        <f>armor1maxdex</f>
        <v>4</v>
      </c>
      <c r="V42" s="135"/>
      <c r="W42" s="135">
        <f>armor1ac</f>
        <v>5</v>
      </c>
      <c r="X42" s="135">
        <f>Armor1checkpen</f>
        <v>-1</v>
      </c>
      <c r="Y42" s="242">
        <f>armor1spellfail</f>
        <v>0.2</v>
      </c>
      <c r="Z42" s="135"/>
      <c r="AA42" s="60">
        <f>armor1wgt</f>
        <v>25</v>
      </c>
      <c r="AB42" s="416"/>
      <c r="AC42" s="59"/>
      <c r="AD42" s="412"/>
      <c r="AE42" s="234" t="s">
        <v>155</v>
      </c>
      <c r="AF42" s="235"/>
      <c r="AG42" s="235" t="s">
        <v>58</v>
      </c>
      <c r="AH42" s="236">
        <f>+AI42+AJ42+AL42+AM42+AK42</f>
        <v>1</v>
      </c>
      <c r="AI42" s="237">
        <f t="shared" si="3"/>
        <v>1</v>
      </c>
      <c r="AJ42" s="237">
        <f>Hovedark!$F$42</f>
        <v>0</v>
      </c>
      <c r="AK42" s="237"/>
      <c r="AL42" s="237"/>
      <c r="AM42" s="237"/>
      <c r="AN42" s="257"/>
      <c r="AO42" s="257"/>
      <c r="AP42" s="257"/>
      <c r="AQ42" s="258">
        <v>83</v>
      </c>
      <c r="AR42" s="18"/>
      <c r="AS42" s="132">
        <f>Hovedark!AP42</f>
        <v>0</v>
      </c>
      <c r="AT42" s="17"/>
      <c r="AU42" s="17"/>
      <c r="AV42" s="17"/>
      <c r="AW42" s="135" t="str">
        <f>armor1type</f>
        <v>L</v>
      </c>
      <c r="AX42" s="135">
        <f>armor1maxdex</f>
        <v>4</v>
      </c>
      <c r="AY42" s="135"/>
      <c r="AZ42" s="135">
        <f>armor1ac</f>
        <v>5</v>
      </c>
      <c r="BA42" s="135">
        <f>Armor1checkpen</f>
        <v>-1</v>
      </c>
      <c r="BB42" s="242">
        <f>armor1spellfail</f>
        <v>0.2</v>
      </c>
      <c r="BC42" s="135"/>
      <c r="BD42" s="60">
        <f>armor1wgt</f>
        <v>25</v>
      </c>
      <c r="BE42" s="412"/>
    </row>
    <row r="43" spans="1:57" ht="18.75" customHeight="1" thickBot="1">
      <c r="A43" s="210"/>
      <c r="B43" s="234" t="s">
        <v>39</v>
      </c>
      <c r="C43" s="235"/>
      <c r="D43" s="235" t="s">
        <v>60</v>
      </c>
      <c r="E43" s="322">
        <f t="shared" si="4"/>
        <v>10</v>
      </c>
      <c r="F43" s="237">
        <f t="shared" si="1"/>
        <v>7</v>
      </c>
      <c r="G43" s="237">
        <f>Hovedark!$F$43</f>
        <v>5</v>
      </c>
      <c r="H43" s="237">
        <f>Hovedark!$G$43</f>
        <v>-2</v>
      </c>
      <c r="I43" s="237"/>
      <c r="J43" s="237"/>
      <c r="K43" s="257"/>
      <c r="L43" s="257"/>
      <c r="M43" s="257"/>
      <c r="N43" s="258">
        <v>84</v>
      </c>
      <c r="O43" s="18"/>
      <c r="P43" s="247" t="s">
        <v>184</v>
      </c>
      <c r="Q43" s="149"/>
      <c r="R43" s="24"/>
      <c r="S43" s="24"/>
      <c r="T43" s="240" t="str">
        <f>armor2type</f>
        <v>N</v>
      </c>
      <c r="U43" s="240"/>
      <c r="V43" s="24"/>
      <c r="W43" s="240">
        <f>armor2ac</f>
        <v>0</v>
      </c>
      <c r="X43" s="204">
        <f>Armor2checkpen</f>
        <v>0</v>
      </c>
      <c r="Y43" s="241">
        <f>armor2spellfail</f>
        <v>0</v>
      </c>
      <c r="Z43" s="24"/>
      <c r="AA43" s="293">
        <f>armor2wgt</f>
        <v>0</v>
      </c>
      <c r="AB43" s="417"/>
      <c r="AC43" s="409"/>
      <c r="AD43" s="412"/>
      <c r="AE43" s="234" t="s">
        <v>39</v>
      </c>
      <c r="AF43" s="235"/>
      <c r="AG43" s="235" t="s">
        <v>60</v>
      </c>
      <c r="AH43" s="377">
        <f>+AI43+AJ43+AL43+AM43+AK43</f>
        <v>7</v>
      </c>
      <c r="AI43" s="237">
        <f t="shared" si="3"/>
        <v>4</v>
      </c>
      <c r="AJ43" s="237">
        <f>Hovedark!$F$43</f>
        <v>5</v>
      </c>
      <c r="AK43" s="237">
        <f>Hovedark!$G$43</f>
        <v>-2</v>
      </c>
      <c r="AL43" s="237"/>
      <c r="AM43" s="237"/>
      <c r="AN43" s="257"/>
      <c r="AO43" s="257"/>
      <c r="AP43" s="257"/>
      <c r="AQ43" s="258">
        <v>84</v>
      </c>
      <c r="AR43" s="18"/>
      <c r="AS43" s="247" t="s">
        <v>184</v>
      </c>
      <c r="AT43" s="149"/>
      <c r="AU43" s="24"/>
      <c r="AV43" s="24"/>
      <c r="AW43" s="240" t="str">
        <f>armor2type</f>
        <v>N</v>
      </c>
      <c r="AX43" s="240"/>
      <c r="AY43" s="24"/>
      <c r="AZ43" s="240">
        <f>armor2ac</f>
        <v>0</v>
      </c>
      <c r="BA43" s="204">
        <f>Armor2checkpen</f>
        <v>0</v>
      </c>
      <c r="BB43" s="241">
        <f>armor2spellfail</f>
        <v>0</v>
      </c>
      <c r="BC43" s="24"/>
      <c r="BD43" s="293">
        <f>armor2wgt</f>
        <v>0</v>
      </c>
      <c r="BE43" s="412"/>
    </row>
    <row r="44" spans="1:57" ht="18.75" customHeight="1" thickBot="1">
      <c r="A44" s="210"/>
      <c r="B44" s="234" t="s">
        <v>40</v>
      </c>
      <c r="C44" s="235"/>
      <c r="D44" s="235" t="s">
        <v>57</v>
      </c>
      <c r="E44" s="337">
        <f>+F44+G44+I44+J44+H44</f>
        <v>7</v>
      </c>
      <c r="F44" s="237">
        <f t="shared" si="1"/>
        <v>3</v>
      </c>
      <c r="G44" s="237">
        <f>Hovedark!$F$44</f>
        <v>4</v>
      </c>
      <c r="H44" s="237"/>
      <c r="I44" s="237"/>
      <c r="J44" s="254"/>
      <c r="K44" s="350" t="str">
        <f>Hovedark!$J$44</f>
        <v>+2 from Esc.art. if binding</v>
      </c>
      <c r="L44" s="257"/>
      <c r="M44" s="257"/>
      <c r="N44" s="258">
        <v>86</v>
      </c>
      <c r="O44" s="18"/>
      <c r="P44" s="22"/>
      <c r="Q44" s="99" t="s">
        <v>79</v>
      </c>
      <c r="R44" s="22"/>
      <c r="S44" s="22"/>
      <c r="T44" s="49"/>
      <c r="U44" s="22"/>
      <c r="V44" s="22"/>
      <c r="W44" s="22"/>
      <c r="X44" s="22"/>
      <c r="Y44" s="22"/>
      <c r="Z44" s="22"/>
      <c r="AA44" s="22"/>
      <c r="AB44" s="414"/>
      <c r="AC44" s="22"/>
      <c r="AD44" s="412"/>
      <c r="AE44" s="234" t="s">
        <v>40</v>
      </c>
      <c r="AF44" s="235"/>
      <c r="AG44" s="235" t="s">
        <v>57</v>
      </c>
      <c r="AH44" s="377">
        <f>+AI44+AJ44+AL44+AM44+AK44</f>
        <v>6</v>
      </c>
      <c r="AI44" s="237">
        <f t="shared" si="3"/>
        <v>2</v>
      </c>
      <c r="AJ44" s="237">
        <f>Hovedark!$F$44</f>
        <v>4</v>
      </c>
      <c r="AK44" s="237"/>
      <c r="AL44" s="237"/>
      <c r="AM44" s="254"/>
      <c r="AN44" s="350" t="str">
        <f>Hovedark!$J$44</f>
        <v>+2 from Esc.art. if binding</v>
      </c>
      <c r="AO44" s="257"/>
      <c r="AP44" s="257"/>
      <c r="AQ44" s="258">
        <v>86</v>
      </c>
      <c r="AR44" s="18"/>
      <c r="AS44" s="22"/>
      <c r="AT44" s="99" t="s">
        <v>79</v>
      </c>
      <c r="AU44" s="22"/>
      <c r="AV44" s="22"/>
      <c r="AW44" s="49"/>
      <c r="AX44" s="22"/>
      <c r="AY44" s="22"/>
      <c r="AZ44" s="22"/>
      <c r="BA44" s="22"/>
      <c r="BB44" s="22"/>
      <c r="BC44" s="22"/>
      <c r="BD44" s="22"/>
      <c r="BE44" s="412"/>
    </row>
    <row r="45" spans="1:57" ht="18.75" customHeight="1">
      <c r="A45" s="210"/>
      <c r="B45" s="71"/>
      <c r="C45" s="96"/>
      <c r="D45" s="96"/>
      <c r="E45" s="111"/>
      <c r="F45" s="237"/>
      <c r="G45" s="237"/>
      <c r="H45" s="59"/>
      <c r="I45" s="59"/>
      <c r="J45" s="59"/>
      <c r="K45" s="46"/>
      <c r="L45" s="46"/>
      <c r="M45" s="46"/>
      <c r="N45" s="78"/>
      <c r="O45" s="18"/>
      <c r="P45" s="9"/>
      <c r="Q45" s="9"/>
      <c r="R45" s="9"/>
      <c r="S45" s="9"/>
      <c r="T45" s="9"/>
      <c r="U45" s="9"/>
      <c r="V45" s="22"/>
      <c r="W45" s="9"/>
      <c r="X45" s="9"/>
      <c r="Y45" s="9"/>
      <c r="Z45" s="9"/>
      <c r="AA45" s="9"/>
      <c r="AB45" s="370"/>
      <c r="AC45" s="9"/>
      <c r="AD45" s="412"/>
      <c r="AE45" s="71"/>
      <c r="AF45" s="96"/>
      <c r="AG45" s="96"/>
      <c r="AH45" s="111"/>
      <c r="AI45" s="237"/>
      <c r="AJ45" s="237"/>
      <c r="AK45" s="59"/>
      <c r="AL45" s="59"/>
      <c r="AM45" s="59"/>
      <c r="AN45" s="46"/>
      <c r="AO45" s="46"/>
      <c r="AP45" s="46"/>
      <c r="AQ45" s="78"/>
      <c r="AR45" s="18"/>
      <c r="AS45" s="9"/>
      <c r="AT45" s="9"/>
      <c r="AU45" s="9"/>
      <c r="AV45" s="9"/>
      <c r="AW45" s="9"/>
      <c r="AX45" s="9"/>
      <c r="AY45" s="22"/>
      <c r="AZ45" s="9"/>
      <c r="BA45" s="9"/>
      <c r="BB45" s="9"/>
      <c r="BC45" s="9"/>
      <c r="BD45" s="9"/>
      <c r="BE45" s="412"/>
    </row>
    <row r="46" spans="1:57" ht="18.75" customHeight="1" thickBot="1">
      <c r="A46" s="210"/>
      <c r="B46" s="71" t="s">
        <v>221</v>
      </c>
      <c r="C46" s="96"/>
      <c r="D46" s="96" t="s">
        <v>54</v>
      </c>
      <c r="E46" s="337">
        <f>+F46+G46+I46+J46+H46</f>
        <v>4</v>
      </c>
      <c r="F46" s="237">
        <f>IF(D46="Int",intmod,IF(D46="Dex",dexRmod,IF(D46="Cha",chamod,IF(D46="Str",strRmod,IF(D46="Con",conRmod,wismod)))))</f>
        <v>2</v>
      </c>
      <c r="G46" s="237">
        <f>Hovedark!$F$46</f>
        <v>0</v>
      </c>
      <c r="H46" s="59"/>
      <c r="I46" s="59"/>
      <c r="J46" s="59">
        <f>N61</f>
        <v>2</v>
      </c>
      <c r="K46" s="350" t="str">
        <f>Hovedark!$J$46</f>
        <v>Stonecunning</v>
      </c>
      <c r="L46" s="316"/>
      <c r="M46" s="46"/>
      <c r="N46" s="162">
        <v>14</v>
      </c>
      <c r="O46" s="18"/>
      <c r="P46" s="101"/>
      <c r="Q46" s="68"/>
      <c r="R46" s="95"/>
      <c r="S46" s="102" t="s">
        <v>44</v>
      </c>
      <c r="T46" s="102" t="s">
        <v>77</v>
      </c>
      <c r="U46" s="103" t="s">
        <v>45</v>
      </c>
      <c r="V46" s="22"/>
      <c r="W46" s="67" t="s">
        <v>72</v>
      </c>
      <c r="X46" s="21"/>
      <c r="Y46" s="68"/>
      <c r="Z46" s="21"/>
      <c r="AA46" s="69" t="s">
        <v>43</v>
      </c>
      <c r="AB46" s="422"/>
      <c r="AC46" s="411"/>
      <c r="AD46" s="412"/>
      <c r="AE46" s="71" t="s">
        <v>221</v>
      </c>
      <c r="AF46" s="96"/>
      <c r="AG46" s="96" t="s">
        <v>54</v>
      </c>
      <c r="AH46" s="236">
        <f>+AI46+AJ46+AL46+AM46+AK46</f>
        <v>4</v>
      </c>
      <c r="AI46" s="237">
        <f>IF(AG46="Int",intmod,IF(AG46="Dex",dexFmod,IF(AG46="Cha",chamod,IF(AG46="Str",strFmod,IF(AG46="Con",conmod,wismod)))))</f>
        <v>2</v>
      </c>
      <c r="AJ46" s="237">
        <f>Hovedark!$F$46</f>
        <v>0</v>
      </c>
      <c r="AK46" s="59"/>
      <c r="AL46" s="59"/>
      <c r="AM46" s="59">
        <f>AQ61</f>
        <v>2</v>
      </c>
      <c r="AN46" s="350" t="str">
        <f>Hovedark!$J$46</f>
        <v>Stonecunning</v>
      </c>
      <c r="AO46" s="316"/>
      <c r="AP46" s="46"/>
      <c r="AQ46" s="162">
        <v>14</v>
      </c>
      <c r="AR46" s="18"/>
      <c r="AS46" s="101"/>
      <c r="AT46" s="68"/>
      <c r="AU46" s="95"/>
      <c r="AV46" s="102" t="s">
        <v>44</v>
      </c>
      <c r="AW46" s="102" t="s">
        <v>77</v>
      </c>
      <c r="AX46" s="103" t="s">
        <v>45</v>
      </c>
      <c r="AY46" s="22"/>
      <c r="AZ46" s="67" t="s">
        <v>72</v>
      </c>
      <c r="BA46" s="21"/>
      <c r="BB46" s="68"/>
      <c r="BC46" s="21"/>
      <c r="BD46" s="69" t="s">
        <v>43</v>
      </c>
      <c r="BE46" s="412"/>
    </row>
    <row r="47" spans="1:57" ht="18.75" customHeight="1" thickBot="1">
      <c r="A47" s="210"/>
      <c r="B47" s="71" t="s">
        <v>222</v>
      </c>
      <c r="C47" s="96"/>
      <c r="D47" s="96" t="s">
        <v>54</v>
      </c>
      <c r="E47" s="337">
        <f>+F47+G47+I47+J47+H47</f>
        <v>4</v>
      </c>
      <c r="F47" s="237">
        <f>IF(D47="Int",intmod,IF(D47="Dex",dexRmod,IF(D47="Cha",chamod,IF(D47="Str",strRmod,IF(D47="Con",conRmod,wismod)))))</f>
        <v>2</v>
      </c>
      <c r="G47" s="237">
        <f>Hovedark!$F$47</f>
        <v>2</v>
      </c>
      <c r="H47" s="59"/>
      <c r="I47" s="59"/>
      <c r="J47" s="59"/>
      <c r="K47" s="351" t="str">
        <f>Hovedark!$J$47</f>
        <v>Barbar krav!</v>
      </c>
      <c r="L47" s="46"/>
      <c r="M47" s="46"/>
      <c r="N47" s="162">
        <v>24</v>
      </c>
      <c r="O47" s="18"/>
      <c r="P47" s="61" t="s">
        <v>43</v>
      </c>
      <c r="Q47" s="58"/>
      <c r="R47" s="58"/>
      <c r="S47" s="338">
        <f>LOOKUP(strR,BF14:BG26)</f>
        <v>133</v>
      </c>
      <c r="T47" s="339">
        <f>LOOKUP(strR,BF14:BH26)</f>
        <v>266</v>
      </c>
      <c r="U47" s="340">
        <f>LOOKUP(strR,BF14:BI26)</f>
        <v>400</v>
      </c>
      <c r="V47" s="22"/>
      <c r="W47" s="70" t="str">
        <f>Hovedark!$V$47</f>
        <v>Backpack</v>
      </c>
      <c r="X47" s="22"/>
      <c r="Y47" s="58"/>
      <c r="Z47" s="22"/>
      <c r="AA47" s="60">
        <f>Hovedark!$Z$47</f>
        <v>2</v>
      </c>
      <c r="AB47" s="416"/>
      <c r="AC47" s="59"/>
      <c r="AD47" s="412"/>
      <c r="AE47" s="71" t="s">
        <v>222</v>
      </c>
      <c r="AF47" s="96"/>
      <c r="AG47" s="96" t="s">
        <v>54</v>
      </c>
      <c r="AH47" s="236">
        <f>+AI47+AJ47+AL47+AM47+AK47</f>
        <v>4</v>
      </c>
      <c r="AI47" s="237">
        <f>IF(AG47="Int",intmod,IF(AG47="Dex",dexFmod,IF(AG47="Cha",chamod,IF(AG47="Str",strFmod,IF(AG47="Con",conmod,wismod)))))</f>
        <v>2</v>
      </c>
      <c r="AJ47" s="237">
        <f>Hovedark!$F$47</f>
        <v>2</v>
      </c>
      <c r="AK47" s="59"/>
      <c r="AL47" s="59"/>
      <c r="AM47" s="59"/>
      <c r="AN47" s="351" t="str">
        <f>Hovedark!$J$47</f>
        <v>Barbar krav!</v>
      </c>
      <c r="AO47" s="46"/>
      <c r="AP47" s="46"/>
      <c r="AQ47" s="162">
        <v>24</v>
      </c>
      <c r="AR47" s="18"/>
      <c r="AS47" s="61" t="s">
        <v>43</v>
      </c>
      <c r="AT47" s="58"/>
      <c r="AU47" s="58"/>
      <c r="AV47" s="397">
        <f>LOOKUP(strF,BF14:BG26)</f>
        <v>116</v>
      </c>
      <c r="AW47" s="398">
        <f>LOOKUP(strF,BF14:BH26)</f>
        <v>233</v>
      </c>
      <c r="AX47" s="399">
        <f>LOOKUP(strF,BF14:BI26)</f>
        <v>350</v>
      </c>
      <c r="AY47" s="22"/>
      <c r="AZ47" s="70" t="str">
        <f>Hovedark!$V$47</f>
        <v>Backpack</v>
      </c>
      <c r="BA47" s="22"/>
      <c r="BB47" s="58"/>
      <c r="BC47" s="22"/>
      <c r="BD47" s="60">
        <f>Hovedark!$Z$47</f>
        <v>2</v>
      </c>
      <c r="BE47" s="412"/>
    </row>
    <row r="48" spans="1:57" ht="18.75" customHeight="1">
      <c r="A48" s="210"/>
      <c r="B48" s="71" t="s">
        <v>257</v>
      </c>
      <c r="C48" s="96"/>
      <c r="D48" s="235" t="s">
        <v>58</v>
      </c>
      <c r="E48" s="337">
        <f>+F48+G48+I48+J48+H48</f>
        <v>2</v>
      </c>
      <c r="F48" s="237">
        <f>IF(D48="Int",intmod,IF(D48="Dex",dexmod,IF(D48="Cha",chamod,IF(D48="Str",strmod,IF(D48="Con",conmod,wismod)))))</f>
        <v>1</v>
      </c>
      <c r="G48" s="59">
        <v>1</v>
      </c>
      <c r="H48" s="59"/>
      <c r="I48" s="237"/>
      <c r="J48" s="59"/>
      <c r="K48" s="9"/>
      <c r="L48" s="46"/>
      <c r="M48" s="46"/>
      <c r="N48" s="162"/>
      <c r="O48" s="18"/>
      <c r="P48" s="61" t="s">
        <v>41</v>
      </c>
      <c r="Q48" s="58"/>
      <c r="R48" s="58"/>
      <c r="S48" s="59">
        <f>Hovedark!$R$48</f>
        <v>30</v>
      </c>
      <c r="T48" s="59">
        <f>Hovedark!$S$48</f>
        <v>30</v>
      </c>
      <c r="U48" s="60">
        <f>Hovedark!$T$48</f>
        <v>20</v>
      </c>
      <c r="V48" s="22"/>
      <c r="W48" s="70" t="str">
        <f>Hovedark!$V$48</f>
        <v>Bedroll</v>
      </c>
      <c r="X48" s="22"/>
      <c r="Y48" s="58"/>
      <c r="Z48" s="22"/>
      <c r="AA48" s="60">
        <f>Hovedark!$Z$48</f>
        <v>2</v>
      </c>
      <c r="AB48" s="416"/>
      <c r="AC48" s="59"/>
      <c r="AD48" s="412"/>
      <c r="AE48" s="71" t="s">
        <v>257</v>
      </c>
      <c r="AF48" s="96"/>
      <c r="AG48" s="235" t="s">
        <v>58</v>
      </c>
      <c r="AH48" s="236">
        <f>+AI48+AJ48+AL48+AM48+AK48</f>
        <v>2</v>
      </c>
      <c r="AI48" s="237">
        <f>IF(AG48="Int",intmod,IF(AG48="Dex",dexmod,IF(AG48="Cha",chamod,IF(AG48="Str",strmod,IF(AG48="Con",conmod,wismod)))))</f>
        <v>1</v>
      </c>
      <c r="AJ48" s="59">
        <v>1</v>
      </c>
      <c r="AK48" s="59"/>
      <c r="AL48" s="237"/>
      <c r="AM48" s="59"/>
      <c r="AN48" s="9"/>
      <c r="AO48" s="46"/>
      <c r="AP48" s="46"/>
      <c r="AQ48" s="162"/>
      <c r="AR48" s="18"/>
      <c r="AS48" s="61" t="s">
        <v>41</v>
      </c>
      <c r="AT48" s="58"/>
      <c r="AU48" s="58"/>
      <c r="AV48" s="59">
        <f>Hovedark!$R$48</f>
        <v>30</v>
      </c>
      <c r="AW48" s="59">
        <f>Hovedark!$S$48</f>
        <v>30</v>
      </c>
      <c r="AX48" s="60">
        <f>Hovedark!$T$48</f>
        <v>20</v>
      </c>
      <c r="AY48" s="22"/>
      <c r="AZ48" s="70" t="str">
        <f>Hovedark!$V$48</f>
        <v>Bedroll</v>
      </c>
      <c r="BA48" s="22"/>
      <c r="BB48" s="58"/>
      <c r="BC48" s="22"/>
      <c r="BD48" s="60">
        <f>Hovedark!$Z$48</f>
        <v>2</v>
      </c>
      <c r="BE48" s="412"/>
    </row>
    <row r="49" spans="1:57" ht="18.75" customHeight="1">
      <c r="A49" s="210"/>
      <c r="B49" s="71" t="s">
        <v>258</v>
      </c>
      <c r="C49" s="96"/>
      <c r="D49" s="235" t="s">
        <v>58</v>
      </c>
      <c r="E49" s="337">
        <f>+F49+G49+I49+J49+H49</f>
        <v>3</v>
      </c>
      <c r="F49" s="237">
        <f>IF(D49="Int",intmod,IF(D49="Dex",dexmod,IF(D49="Cha",chamod,IF(D49="Str",strmod,IF(D49="Con",conmod,wismod)))))</f>
        <v>1</v>
      </c>
      <c r="G49" s="59">
        <v>2</v>
      </c>
      <c r="H49" s="59"/>
      <c r="I49" s="59"/>
      <c r="J49" s="59"/>
      <c r="K49" s="228"/>
      <c r="L49" s="46"/>
      <c r="M49" s="46"/>
      <c r="N49" s="162"/>
      <c r="O49" s="18"/>
      <c r="P49" s="61" t="s">
        <v>42</v>
      </c>
      <c r="Q49" s="58"/>
      <c r="R49" s="58"/>
      <c r="S49" s="59" t="str">
        <f>Hovedark!$R$49</f>
        <v>x4</v>
      </c>
      <c r="T49" s="59" t="str">
        <f>Hovedark!$S$49</f>
        <v>x4</v>
      </c>
      <c r="U49" s="60" t="str">
        <f>Hovedark!$T$49</f>
        <v>x3</v>
      </c>
      <c r="V49" s="243">
        <f>IF(U52&lt;0,"!","")</f>
      </c>
      <c r="W49" s="70" t="str">
        <f>Hovedark!$V$49</f>
        <v>Waterskin</v>
      </c>
      <c r="X49" s="22"/>
      <c r="Y49" s="58"/>
      <c r="Z49" s="22"/>
      <c r="AA49" s="60">
        <f>Hovedark!$Z$49</f>
        <v>4</v>
      </c>
      <c r="AB49" s="416"/>
      <c r="AC49" s="59"/>
      <c r="AD49" s="412"/>
      <c r="AE49" s="71" t="s">
        <v>258</v>
      </c>
      <c r="AF49" s="96"/>
      <c r="AG49" s="235" t="s">
        <v>58</v>
      </c>
      <c r="AH49" s="236">
        <f>+AI49+AJ49+AL49+AM49+AK49</f>
        <v>3</v>
      </c>
      <c r="AI49" s="237">
        <f>IF(AG49="Int",intmod,IF(AG49="Dex",dexmod,IF(AG49="Cha",chamod,IF(AG49="Str",strmod,IF(AG49="Con",conmod,wismod)))))</f>
        <v>1</v>
      </c>
      <c r="AJ49" s="59">
        <v>2</v>
      </c>
      <c r="AK49" s="59"/>
      <c r="AL49" s="59"/>
      <c r="AM49" s="59"/>
      <c r="AN49" s="228"/>
      <c r="AO49" s="46"/>
      <c r="AP49" s="46"/>
      <c r="AQ49" s="162"/>
      <c r="AR49" s="18"/>
      <c r="AS49" s="61" t="s">
        <v>42</v>
      </c>
      <c r="AT49" s="58"/>
      <c r="AU49" s="58"/>
      <c r="AV49" s="379" t="str">
        <f>Hovedark!$R$49</f>
        <v>x4</v>
      </c>
      <c r="AW49" s="379" t="str">
        <f>Hovedark!$S$49</f>
        <v>x4</v>
      </c>
      <c r="AX49" s="380" t="str">
        <f>Hovedark!$T$49</f>
        <v>x3</v>
      </c>
      <c r="AY49" s="243">
        <f>IF(AX52&lt;0,"!","")</f>
      </c>
      <c r="AZ49" s="70" t="str">
        <f>Hovedark!$V$49</f>
        <v>Waterskin</v>
      </c>
      <c r="BA49" s="22"/>
      <c r="BB49" s="58"/>
      <c r="BC49" s="22"/>
      <c r="BD49" s="60">
        <f>Hovedark!$Z$49</f>
        <v>4</v>
      </c>
      <c r="BE49" s="412"/>
    </row>
    <row r="50" spans="1:57" ht="18.75" customHeight="1">
      <c r="A50" s="210"/>
      <c r="B50" s="71"/>
      <c r="C50" s="96"/>
      <c r="D50" s="96"/>
      <c r="E50" s="111"/>
      <c r="F50" s="59"/>
      <c r="G50" s="237"/>
      <c r="H50" s="59"/>
      <c r="I50" s="59"/>
      <c r="J50" s="59"/>
      <c r="K50" s="228"/>
      <c r="L50" s="46"/>
      <c r="M50" s="46"/>
      <c r="N50" s="162"/>
      <c r="O50" s="18"/>
      <c r="P50" s="57" t="s">
        <v>104</v>
      </c>
      <c r="Q50" s="58"/>
      <c r="R50" s="58"/>
      <c r="S50" s="59">
        <f>Hovedark!$R$50</f>
        <v>0</v>
      </c>
      <c r="T50" s="59">
        <f>Hovedark!$S$50</f>
        <v>3</v>
      </c>
      <c r="U50" s="60">
        <f>Hovedark!$T$50</f>
        <v>1</v>
      </c>
      <c r="V50" s="243"/>
      <c r="W50" s="70" t="str">
        <f>Hovedark!$V$50</f>
        <v>Lampe, olie, flint</v>
      </c>
      <c r="X50" s="22"/>
      <c r="Y50" s="58"/>
      <c r="Z50" s="22"/>
      <c r="AA50" s="60">
        <f>Hovedark!$Z$50</f>
        <v>2</v>
      </c>
      <c r="AB50" s="416"/>
      <c r="AC50" s="59"/>
      <c r="AD50" s="412"/>
      <c r="AE50" s="71"/>
      <c r="AF50" s="96"/>
      <c r="AG50" s="96"/>
      <c r="AH50" s="111"/>
      <c r="AI50" s="59"/>
      <c r="AJ50" s="237"/>
      <c r="AK50" s="59"/>
      <c r="AL50" s="59"/>
      <c r="AM50" s="59"/>
      <c r="AN50" s="228"/>
      <c r="AO50" s="46"/>
      <c r="AP50" s="46"/>
      <c r="AQ50" s="162"/>
      <c r="AR50" s="18"/>
      <c r="AS50" s="57" t="s">
        <v>104</v>
      </c>
      <c r="AT50" s="58"/>
      <c r="AU50" s="58"/>
      <c r="AV50" s="59">
        <f>Hovedark!$R$50</f>
        <v>0</v>
      </c>
      <c r="AW50" s="59">
        <f>Hovedark!$S$50</f>
        <v>3</v>
      </c>
      <c r="AX50" s="60">
        <f>Hovedark!$T$50</f>
        <v>1</v>
      </c>
      <c r="AY50" s="243"/>
      <c r="AZ50" s="70" t="str">
        <f>Hovedark!$V$50</f>
        <v>Lampe, olie, flint</v>
      </c>
      <c r="BA50" s="22"/>
      <c r="BB50" s="58"/>
      <c r="BC50" s="22"/>
      <c r="BD50" s="60">
        <f>Hovedark!$Z$50</f>
        <v>2</v>
      </c>
      <c r="BE50" s="412"/>
    </row>
    <row r="51" spans="1:57" ht="18.75" customHeight="1">
      <c r="A51" s="210"/>
      <c r="B51" s="71"/>
      <c r="C51" s="96"/>
      <c r="D51" s="96"/>
      <c r="E51" s="111"/>
      <c r="F51" s="59"/>
      <c r="G51" s="237"/>
      <c r="H51" s="59"/>
      <c r="I51" s="59"/>
      <c r="J51" s="59"/>
      <c r="K51" s="46"/>
      <c r="L51" s="46"/>
      <c r="M51" s="46"/>
      <c r="N51" s="162"/>
      <c r="O51" s="18"/>
      <c r="P51" s="57" t="s">
        <v>116</v>
      </c>
      <c r="Q51" s="58"/>
      <c r="R51" s="58"/>
      <c r="S51" s="59">
        <f>Hovedark!$R$51</f>
        <v>0</v>
      </c>
      <c r="T51" s="59">
        <f>Hovedark!$S$51</f>
        <v>-3</v>
      </c>
      <c r="U51" s="60">
        <f>Hovedark!$T$51</f>
        <v>-6</v>
      </c>
      <c r="V51" s="243"/>
      <c r="W51" s="70"/>
      <c r="X51" s="22"/>
      <c r="Y51" s="58"/>
      <c r="Z51" s="22"/>
      <c r="AA51" s="60"/>
      <c r="AB51" s="416"/>
      <c r="AC51" s="59"/>
      <c r="AD51" s="412"/>
      <c r="AE51" s="71"/>
      <c r="AF51" s="96"/>
      <c r="AG51" s="96"/>
      <c r="AH51" s="111"/>
      <c r="AI51" s="59"/>
      <c r="AJ51" s="237"/>
      <c r="AK51" s="59"/>
      <c r="AL51" s="59"/>
      <c r="AM51" s="59"/>
      <c r="AN51" s="46"/>
      <c r="AO51" s="46"/>
      <c r="AP51" s="46"/>
      <c r="AQ51" s="162"/>
      <c r="AR51" s="18"/>
      <c r="AS51" s="57" t="s">
        <v>116</v>
      </c>
      <c r="AT51" s="58"/>
      <c r="AU51" s="58"/>
      <c r="AV51" s="59">
        <f>Hovedark!$R$51</f>
        <v>0</v>
      </c>
      <c r="AW51" s="59">
        <f>Hovedark!$S$51</f>
        <v>-3</v>
      </c>
      <c r="AX51" s="60">
        <f>Hovedark!$T$51</f>
        <v>-6</v>
      </c>
      <c r="AY51" s="243"/>
      <c r="AZ51" s="70"/>
      <c r="BA51" s="22"/>
      <c r="BB51" s="58"/>
      <c r="BC51" s="22"/>
      <c r="BD51" s="60"/>
      <c r="BE51" s="412"/>
    </row>
    <row r="52" spans="1:57" ht="18.75" customHeight="1">
      <c r="A52" s="210"/>
      <c r="B52" s="71"/>
      <c r="C52" s="96"/>
      <c r="D52" s="96"/>
      <c r="E52" s="111"/>
      <c r="F52" s="59"/>
      <c r="G52" s="237"/>
      <c r="H52" s="59"/>
      <c r="I52" s="59"/>
      <c r="J52" s="59"/>
      <c r="K52" s="46"/>
      <c r="L52" s="46"/>
      <c r="M52" s="46"/>
      <c r="N52" s="162"/>
      <c r="O52" s="18"/>
      <c r="P52" s="61" t="s">
        <v>153</v>
      </c>
      <c r="Q52" s="62"/>
      <c r="R52" s="62"/>
      <c r="S52" s="63" t="str">
        <f>IF(totalweight&lt;=Rlightweight,"Light",Rlightweight-totalweight)</f>
        <v>Light</v>
      </c>
      <c r="T52" s="63">
        <f>IF(totalweight&gt;Rlightweight,IF(totalweight&lt;=Rmediumweight,"Medium",Rmediumweight-totalweight),Rlightweight-totalweight)</f>
        <v>66</v>
      </c>
      <c r="U52" s="64">
        <f>IF(totalweight&gt;Rmediumweight,IF(totalweight&lt;=Rheavyweight,"Heavy",Rheavyweight-totalweight),Rmediumweight-totalweight)</f>
        <v>199</v>
      </c>
      <c r="V52" s="22"/>
      <c r="W52" s="70"/>
      <c r="X52" s="22"/>
      <c r="Y52" s="58"/>
      <c r="Z52" s="22"/>
      <c r="AA52" s="60"/>
      <c r="AB52" s="416"/>
      <c r="AC52" s="59"/>
      <c r="AD52" s="412"/>
      <c r="AE52" s="71"/>
      <c r="AF52" s="96"/>
      <c r="AG52" s="96"/>
      <c r="AH52" s="111"/>
      <c r="AI52" s="59"/>
      <c r="AJ52" s="237"/>
      <c r="AK52" s="59"/>
      <c r="AL52" s="59"/>
      <c r="AM52" s="59"/>
      <c r="AN52" s="46"/>
      <c r="AO52" s="46"/>
      <c r="AP52" s="46"/>
      <c r="AQ52" s="162"/>
      <c r="AR52" s="18"/>
      <c r="AS52" s="61" t="s">
        <v>153</v>
      </c>
      <c r="AT52" s="62"/>
      <c r="AU52" s="62"/>
      <c r="AV52" s="63" t="str">
        <f>IF(totalweight&lt;=FLightweight,"Light",FLightweight-totalweight)</f>
        <v>Light</v>
      </c>
      <c r="AW52" s="63">
        <f>IF(totalweight&gt;FLightweight,IF(totalweight&lt;=Fmediumweight,"Medium",Fmediumweight-totalweight),FLightweight-totalweight)</f>
        <v>49</v>
      </c>
      <c r="AX52" s="64">
        <f>IF(totalweight&gt;Fmediumweight,IF(totalweight&lt;=FHeavyweight,"Heavy",FHeavyweight-totalweight),Fmediumweight-totalweight)</f>
        <v>166</v>
      </c>
      <c r="AY52" s="22"/>
      <c r="AZ52" s="70"/>
      <c r="BA52" s="22"/>
      <c r="BB52" s="58"/>
      <c r="BC52" s="22"/>
      <c r="BD52" s="60"/>
      <c r="BE52" s="412"/>
    </row>
    <row r="53" spans="1:57" ht="18.75" customHeight="1" thickBot="1">
      <c r="A53" s="210"/>
      <c r="B53" s="71"/>
      <c r="C53" s="96"/>
      <c r="D53" s="96"/>
      <c r="E53" s="111"/>
      <c r="F53" s="59"/>
      <c r="G53" s="237"/>
      <c r="H53" s="59"/>
      <c r="I53" s="59"/>
      <c r="J53" s="59"/>
      <c r="K53" s="46"/>
      <c r="L53" s="46"/>
      <c r="M53" s="46"/>
      <c r="N53" s="162"/>
      <c r="O53" s="18"/>
      <c r="P53" s="53"/>
      <c r="Q53" s="65"/>
      <c r="R53" s="65"/>
      <c r="S53" s="65"/>
      <c r="T53" s="58"/>
      <c r="U53" s="66"/>
      <c r="V53" s="22"/>
      <c r="W53" s="70"/>
      <c r="X53" s="22"/>
      <c r="Y53" s="58"/>
      <c r="Z53" s="22"/>
      <c r="AA53" s="60"/>
      <c r="AB53" s="416"/>
      <c r="AC53" s="59"/>
      <c r="AD53" s="412"/>
      <c r="AE53" s="71"/>
      <c r="AF53" s="96"/>
      <c r="AG53" s="96"/>
      <c r="AH53" s="111"/>
      <c r="AI53" s="59"/>
      <c r="AJ53" s="237"/>
      <c r="AK53" s="59"/>
      <c r="AL53" s="59"/>
      <c r="AM53" s="59"/>
      <c r="AN53" s="46"/>
      <c r="AO53" s="46"/>
      <c r="AP53" s="46"/>
      <c r="AQ53" s="162"/>
      <c r="AR53" s="18"/>
      <c r="AS53" s="53"/>
      <c r="AT53" s="65"/>
      <c r="AU53" s="65"/>
      <c r="AV53" s="65"/>
      <c r="AW53" s="58"/>
      <c r="AX53" s="66"/>
      <c r="AY53" s="22"/>
      <c r="AZ53" s="70"/>
      <c r="BA53" s="22"/>
      <c r="BB53" s="58"/>
      <c r="BC53" s="22"/>
      <c r="BD53" s="60"/>
      <c r="BE53" s="412"/>
    </row>
    <row r="54" spans="1:57" ht="18.75" customHeight="1">
      <c r="A54" s="210"/>
      <c r="B54" s="71"/>
      <c r="C54" s="96"/>
      <c r="D54" s="96"/>
      <c r="E54" s="111"/>
      <c r="F54" s="59"/>
      <c r="G54" s="237"/>
      <c r="H54" s="59"/>
      <c r="I54" s="59"/>
      <c r="J54" s="59"/>
      <c r="K54" s="46"/>
      <c r="L54" s="46"/>
      <c r="M54" s="46"/>
      <c r="N54" s="37"/>
      <c r="O54" s="18"/>
      <c r="P54" s="70" t="s">
        <v>101</v>
      </c>
      <c r="Q54" s="58"/>
      <c r="R54" s="58"/>
      <c r="S54" s="352">
        <f>Rheavyweight</f>
        <v>400</v>
      </c>
      <c r="T54" s="58"/>
      <c r="U54" s="66"/>
      <c r="V54" s="22"/>
      <c r="W54" s="70"/>
      <c r="X54" s="22"/>
      <c r="Y54" s="58"/>
      <c r="Z54" s="22"/>
      <c r="AA54" s="60"/>
      <c r="AB54" s="416"/>
      <c r="AC54" s="59"/>
      <c r="AD54" s="412"/>
      <c r="AE54" s="71"/>
      <c r="AF54" s="96"/>
      <c r="AG54" s="96"/>
      <c r="AH54" s="111"/>
      <c r="AI54" s="59"/>
      <c r="AJ54" s="237"/>
      <c r="AK54" s="59"/>
      <c r="AL54" s="59"/>
      <c r="AM54" s="59"/>
      <c r="AN54" s="46"/>
      <c r="AO54" s="46"/>
      <c r="AP54" s="46"/>
      <c r="AQ54" s="37"/>
      <c r="AR54" s="18"/>
      <c r="AS54" s="70" t="s">
        <v>101</v>
      </c>
      <c r="AT54" s="58"/>
      <c r="AU54" s="58"/>
      <c r="AV54" s="394">
        <f>FHeavyweight</f>
        <v>350</v>
      </c>
      <c r="AW54" s="58"/>
      <c r="AX54" s="66"/>
      <c r="AY54" s="22"/>
      <c r="AZ54" s="70"/>
      <c r="BA54" s="22"/>
      <c r="BB54" s="58"/>
      <c r="BC54" s="22"/>
      <c r="BD54" s="60"/>
      <c r="BE54" s="412"/>
    </row>
    <row r="55" spans="1:57" ht="18.75" customHeight="1">
      <c r="A55" s="210"/>
      <c r="B55" s="15"/>
      <c r="C55" s="153"/>
      <c r="D55" s="154" t="s">
        <v>194</v>
      </c>
      <c r="E55" s="155">
        <f>+Class1_lvl+3</f>
        <v>7</v>
      </c>
      <c r="F55" s="1"/>
      <c r="G55" s="237" t="str">
        <f>Hovedark!F55</f>
        <v>Ranks pr lvl, brb: </v>
      </c>
      <c r="H55" s="155">
        <v>4</v>
      </c>
      <c r="I55" s="154" t="s">
        <v>172</v>
      </c>
      <c r="J55" s="155">
        <f>+((intmod+4)*4+4)+((intmod+4+1)*(Class2_lvl-1))+E56</f>
        <v>25</v>
      </c>
      <c r="L55" s="331"/>
      <c r="M55" s="332" t="s">
        <v>227</v>
      </c>
      <c r="N55" s="333">
        <f>SUM(G21:G53)</f>
        <v>42</v>
      </c>
      <c r="O55" s="18"/>
      <c r="P55" s="70" t="s">
        <v>102</v>
      </c>
      <c r="Q55" s="58"/>
      <c r="R55" s="58"/>
      <c r="S55" s="353">
        <f>2*Rheavyweight</f>
        <v>800</v>
      </c>
      <c r="T55" s="58"/>
      <c r="U55" s="66"/>
      <c r="V55" s="22"/>
      <c r="W55" s="70"/>
      <c r="X55" s="22"/>
      <c r="Y55" s="58"/>
      <c r="Z55" s="22"/>
      <c r="AA55" s="60"/>
      <c r="AB55" s="416"/>
      <c r="AC55" s="59"/>
      <c r="AD55" s="412"/>
      <c r="AE55" s="15"/>
      <c r="AF55" s="153"/>
      <c r="AG55" s="154" t="s">
        <v>194</v>
      </c>
      <c r="AH55" s="155">
        <f>+Class1_lvl+3</f>
        <v>7</v>
      </c>
      <c r="AI55" s="1"/>
      <c r="AJ55" s="237">
        <f>Hovedark!AG55</f>
        <v>0.05</v>
      </c>
      <c r="AK55" s="155">
        <v>4</v>
      </c>
      <c r="AL55" s="154" t="s">
        <v>172</v>
      </c>
      <c r="AM55" s="155">
        <f>+((intmod+4)*4+4)+((intmod+4+1)*(Class2_lvl-1))+AH56</f>
        <v>25</v>
      </c>
      <c r="AO55" s="331"/>
      <c r="AP55" s="332" t="s">
        <v>227</v>
      </c>
      <c r="AQ55" s="333">
        <f>SUM(AJ21:AJ53)</f>
        <v>42</v>
      </c>
      <c r="AR55" s="18"/>
      <c r="AS55" s="70" t="s">
        <v>102</v>
      </c>
      <c r="AT55" s="58"/>
      <c r="AU55" s="58"/>
      <c r="AV55" s="395">
        <f>2*FHeavyweight</f>
        <v>700</v>
      </c>
      <c r="AW55" s="58"/>
      <c r="AX55" s="66"/>
      <c r="AY55" s="22"/>
      <c r="AZ55" s="70"/>
      <c r="BA55" s="22"/>
      <c r="BB55" s="58"/>
      <c r="BC55" s="22"/>
      <c r="BD55" s="60"/>
      <c r="BE55" s="412"/>
    </row>
    <row r="56" spans="1:57" ht="18.75" customHeight="1" thickBot="1">
      <c r="A56" s="210"/>
      <c r="B56" s="304"/>
      <c r="C56" s="156"/>
      <c r="D56" s="157" t="s">
        <v>196</v>
      </c>
      <c r="E56" s="207">
        <v>4</v>
      </c>
      <c r="F56" s="149"/>
      <c r="G56" s="237"/>
      <c r="H56" s="157"/>
      <c r="I56" s="207"/>
      <c r="J56" s="157"/>
      <c r="K56" s="207"/>
      <c r="L56" s="334"/>
      <c r="M56" s="335" t="s">
        <v>173</v>
      </c>
      <c r="N56" s="336">
        <f>+J55+K56</f>
        <v>25</v>
      </c>
      <c r="O56" s="18"/>
      <c r="P56" s="104" t="s">
        <v>103</v>
      </c>
      <c r="Q56" s="105"/>
      <c r="R56" s="105"/>
      <c r="S56" s="354">
        <f>5*Rheavyweight</f>
        <v>2000</v>
      </c>
      <c r="T56" s="105"/>
      <c r="U56" s="106"/>
      <c r="V56" s="22"/>
      <c r="W56" s="70"/>
      <c r="X56" s="22"/>
      <c r="Y56" s="58"/>
      <c r="Z56" s="22"/>
      <c r="AA56" s="60"/>
      <c r="AB56" s="416"/>
      <c r="AC56" s="59"/>
      <c r="AD56" s="412"/>
      <c r="AE56" s="304"/>
      <c r="AF56" s="156"/>
      <c r="AG56" s="157" t="s">
        <v>196</v>
      </c>
      <c r="AH56" s="207">
        <v>4</v>
      </c>
      <c r="AI56" s="149"/>
      <c r="AJ56" s="237"/>
      <c r="AK56" s="157"/>
      <c r="AL56" s="207"/>
      <c r="AM56" s="157"/>
      <c r="AN56" s="207"/>
      <c r="AO56" s="334"/>
      <c r="AP56" s="335" t="s">
        <v>173</v>
      </c>
      <c r="AQ56" s="336">
        <f>+AM55+AN56</f>
        <v>25</v>
      </c>
      <c r="AR56" s="18"/>
      <c r="AS56" s="104" t="s">
        <v>103</v>
      </c>
      <c r="AT56" s="105"/>
      <c r="AU56" s="105"/>
      <c r="AV56" s="396">
        <f>5*FHeavyweight</f>
        <v>1750</v>
      </c>
      <c r="AW56" s="105"/>
      <c r="AX56" s="106"/>
      <c r="AY56" s="22"/>
      <c r="AZ56" s="70"/>
      <c r="BA56" s="22"/>
      <c r="BB56" s="58"/>
      <c r="BC56" s="22"/>
      <c r="BD56" s="60"/>
      <c r="BE56" s="412"/>
    </row>
    <row r="57" spans="1:57" ht="18.75" customHeight="1">
      <c r="A57" s="210"/>
      <c r="B57" s="22"/>
      <c r="C57" s="18"/>
      <c r="D57" s="22"/>
      <c r="E57" s="22"/>
      <c r="F57" s="22"/>
      <c r="G57" s="237"/>
      <c r="H57" s="22"/>
      <c r="I57" s="49"/>
      <c r="J57" s="22"/>
      <c r="K57" s="22"/>
      <c r="L57" s="22"/>
      <c r="M57" s="18"/>
      <c r="N57" s="18"/>
      <c r="O57" s="18"/>
      <c r="P57" s="9"/>
      <c r="Q57" s="9"/>
      <c r="R57" s="9"/>
      <c r="S57" s="9"/>
      <c r="T57" s="9"/>
      <c r="U57" s="9"/>
      <c r="V57" s="22"/>
      <c r="W57" s="70"/>
      <c r="X57" s="22"/>
      <c r="Y57" s="58"/>
      <c r="Z57" s="22"/>
      <c r="AA57" s="60"/>
      <c r="AB57" s="416"/>
      <c r="AC57" s="59"/>
      <c r="AD57" s="412"/>
      <c r="AE57" s="22"/>
      <c r="AF57" s="18"/>
      <c r="AG57" s="22"/>
      <c r="AH57" s="22"/>
      <c r="AI57" s="22"/>
      <c r="AJ57" s="237"/>
      <c r="AK57" s="22"/>
      <c r="AL57" s="49"/>
      <c r="AM57" s="22"/>
      <c r="AN57" s="22"/>
      <c r="AO57" s="22"/>
      <c r="AP57" s="18"/>
      <c r="AQ57" s="18"/>
      <c r="AR57" s="18"/>
      <c r="AS57" s="9"/>
      <c r="AT57" s="9"/>
      <c r="AU57" s="9"/>
      <c r="AV57" s="9"/>
      <c r="AW57" s="9"/>
      <c r="AX57" s="9"/>
      <c r="AY57" s="22"/>
      <c r="AZ57" s="70"/>
      <c r="BA57" s="22"/>
      <c r="BB57" s="58"/>
      <c r="BC57" s="22"/>
      <c r="BD57" s="60"/>
      <c r="BE57" s="412"/>
    </row>
    <row r="58" spans="1:57" ht="18.75" customHeight="1" thickBot="1">
      <c r="A58" s="210"/>
      <c r="B58" s="18"/>
      <c r="C58" s="18"/>
      <c r="D58" s="18"/>
      <c r="E58" s="18"/>
      <c r="F58" s="18"/>
      <c r="G58" s="237"/>
      <c r="H58" s="18"/>
      <c r="I58" s="18"/>
      <c r="J58" s="18"/>
      <c r="K58" s="18"/>
      <c r="L58" s="18"/>
      <c r="M58" s="18"/>
      <c r="N58" s="18"/>
      <c r="O58" s="18"/>
      <c r="P58" s="9"/>
      <c r="Q58" s="9"/>
      <c r="R58" s="9"/>
      <c r="S58" s="1"/>
      <c r="T58" s="9"/>
      <c r="U58" s="9"/>
      <c r="V58" s="22"/>
      <c r="W58" s="70"/>
      <c r="X58" s="22"/>
      <c r="Y58" s="58"/>
      <c r="Z58" s="22"/>
      <c r="AA58" s="60"/>
      <c r="AB58" s="416"/>
      <c r="AC58" s="59"/>
      <c r="AD58" s="412"/>
      <c r="AE58" s="18"/>
      <c r="AF58" s="18"/>
      <c r="AG58" s="18"/>
      <c r="AH58" s="18"/>
      <c r="AI58" s="18"/>
      <c r="AJ58" s="237"/>
      <c r="AK58" s="18"/>
      <c r="AL58" s="18"/>
      <c r="AM58" s="18"/>
      <c r="AN58" s="18"/>
      <c r="AO58" s="18"/>
      <c r="AP58" s="18"/>
      <c r="AQ58" s="18"/>
      <c r="AR58" s="18"/>
      <c r="AS58" s="9"/>
      <c r="AT58" s="9"/>
      <c r="AU58" s="9"/>
      <c r="AV58" s="1"/>
      <c r="AW58" s="9"/>
      <c r="AX58" s="9"/>
      <c r="AY58" s="22"/>
      <c r="AZ58" s="70"/>
      <c r="BA58" s="22"/>
      <c r="BB58" s="58"/>
      <c r="BC58" s="22"/>
      <c r="BD58" s="60"/>
      <c r="BE58" s="412"/>
    </row>
    <row r="59" spans="1:57" ht="18.75" customHeight="1">
      <c r="A59" s="210"/>
      <c r="B59" s="107" t="s">
        <v>66</v>
      </c>
      <c r="C59" s="123"/>
      <c r="D59" s="108"/>
      <c r="E59" s="108"/>
      <c r="F59" s="108" t="s">
        <v>67</v>
      </c>
      <c r="G59" s="426"/>
      <c r="H59" s="123"/>
      <c r="I59" s="123"/>
      <c r="J59" s="123"/>
      <c r="K59" s="123"/>
      <c r="L59" s="123"/>
      <c r="M59" s="123"/>
      <c r="N59" s="124"/>
      <c r="O59" s="18"/>
      <c r="P59" s="356">
        <v>2</v>
      </c>
      <c r="Q59" s="357" t="s">
        <v>238</v>
      </c>
      <c r="R59" s="357"/>
      <c r="S59" s="358">
        <v>1</v>
      </c>
      <c r="T59" s="357" t="s">
        <v>239</v>
      </c>
      <c r="U59" s="359"/>
      <c r="V59" s="22"/>
      <c r="W59" s="70"/>
      <c r="X59" s="22"/>
      <c r="Y59" s="58"/>
      <c r="Z59" s="22"/>
      <c r="AA59" s="60"/>
      <c r="AB59" s="416"/>
      <c r="AC59" s="59"/>
      <c r="AD59" s="412"/>
      <c r="AE59" s="107" t="s">
        <v>66</v>
      </c>
      <c r="AF59" s="123"/>
      <c r="AG59" s="108"/>
      <c r="AH59" s="108"/>
      <c r="AI59" s="108" t="s">
        <v>67</v>
      </c>
      <c r="AJ59" s="237"/>
      <c r="AK59" s="123"/>
      <c r="AL59" s="123"/>
      <c r="AM59" s="123"/>
      <c r="AN59" s="123"/>
      <c r="AO59" s="123"/>
      <c r="AP59" s="123"/>
      <c r="AQ59" s="124"/>
      <c r="AR59" s="18"/>
      <c r="AS59" s="381">
        <v>2</v>
      </c>
      <c r="AT59" s="382" t="s">
        <v>238</v>
      </c>
      <c r="AU59" s="382"/>
      <c r="AV59" s="383">
        <v>1</v>
      </c>
      <c r="AW59" s="382" t="s">
        <v>239</v>
      </c>
      <c r="AX59" s="384"/>
      <c r="AY59" s="22"/>
      <c r="AZ59" s="70"/>
      <c r="BA59" s="22"/>
      <c r="BB59" s="58"/>
      <c r="BC59" s="22"/>
      <c r="BD59" s="60"/>
      <c r="BE59" s="412"/>
    </row>
    <row r="60" spans="1:57" ht="18.75" customHeight="1">
      <c r="A60" s="210"/>
      <c r="B60" s="125" t="s">
        <v>202</v>
      </c>
      <c r="C60" s="120"/>
      <c r="D60" s="119"/>
      <c r="E60" s="131"/>
      <c r="F60" s="119" t="s">
        <v>203</v>
      </c>
      <c r="G60" s="237"/>
      <c r="H60" s="120"/>
      <c r="I60" s="120"/>
      <c r="J60" s="120"/>
      <c r="K60" s="120"/>
      <c r="L60" s="120"/>
      <c r="M60" s="120"/>
      <c r="N60" s="121"/>
      <c r="O60" s="18"/>
      <c r="P60" s="360" t="s">
        <v>240</v>
      </c>
      <c r="Q60" s="1"/>
      <c r="R60" s="151">
        <f>3+conRmod</f>
        <v>7</v>
      </c>
      <c r="S60" s="119" t="s">
        <v>241</v>
      </c>
      <c r="T60" s="1"/>
      <c r="U60" s="361"/>
      <c r="V60" s="22"/>
      <c r="W60" s="70"/>
      <c r="X60" s="22"/>
      <c r="Y60" s="58"/>
      <c r="Z60" s="22"/>
      <c r="AA60" s="60"/>
      <c r="AB60" s="416"/>
      <c r="AC60" s="59"/>
      <c r="AD60" s="412"/>
      <c r="AE60" s="125" t="s">
        <v>202</v>
      </c>
      <c r="AF60" s="120"/>
      <c r="AG60" s="119"/>
      <c r="AH60" s="131"/>
      <c r="AI60" s="119" t="s">
        <v>203</v>
      </c>
      <c r="AJ60" s="237"/>
      <c r="AK60" s="120"/>
      <c r="AL60" s="120"/>
      <c r="AM60" s="120"/>
      <c r="AN60" s="120"/>
      <c r="AO60" s="120"/>
      <c r="AP60" s="120"/>
      <c r="AQ60" s="121"/>
      <c r="AR60" s="18"/>
      <c r="AS60" s="385" t="s">
        <v>240</v>
      </c>
      <c r="AT60" s="1"/>
      <c r="AU60" s="151">
        <f>3+conRmod</f>
        <v>7</v>
      </c>
      <c r="AV60" s="119" t="s">
        <v>241</v>
      </c>
      <c r="AW60" s="1"/>
      <c r="AX60" s="386"/>
      <c r="AY60" s="22"/>
      <c r="AZ60" s="70"/>
      <c r="BA60" s="22"/>
      <c r="BB60" s="58"/>
      <c r="BC60" s="22"/>
      <c r="BD60" s="60"/>
      <c r="BE60" s="412"/>
    </row>
    <row r="61" spans="1:57" ht="18.75" customHeight="1">
      <c r="A61" s="210"/>
      <c r="B61" s="125" t="s">
        <v>204</v>
      </c>
      <c r="C61" s="120"/>
      <c r="D61" s="119"/>
      <c r="E61" s="131"/>
      <c r="F61" s="261" t="s">
        <v>206</v>
      </c>
      <c r="G61" s="237"/>
      <c r="H61" s="120"/>
      <c r="I61" s="120"/>
      <c r="J61" s="120"/>
      <c r="K61" s="120"/>
      <c r="L61" s="1"/>
      <c r="M61" s="315" t="s">
        <v>205</v>
      </c>
      <c r="N61" s="319">
        <v>2</v>
      </c>
      <c r="O61" s="18"/>
      <c r="P61" s="362" t="s">
        <v>242</v>
      </c>
      <c r="Q61" s="355" t="s">
        <v>243</v>
      </c>
      <c r="R61" s="119"/>
      <c r="S61" s="119"/>
      <c r="T61" s="119"/>
      <c r="U61" s="363"/>
      <c r="V61" s="22"/>
      <c r="W61" s="70"/>
      <c r="X61" s="22"/>
      <c r="Y61" s="58"/>
      <c r="Z61" s="22"/>
      <c r="AA61" s="60"/>
      <c r="AB61" s="416"/>
      <c r="AC61" s="59"/>
      <c r="AD61" s="412"/>
      <c r="AE61" s="125" t="s">
        <v>204</v>
      </c>
      <c r="AF61" s="120"/>
      <c r="AG61" s="119"/>
      <c r="AH61" s="131"/>
      <c r="AI61" s="314" t="s">
        <v>206</v>
      </c>
      <c r="AJ61" s="237"/>
      <c r="AK61" s="120"/>
      <c r="AL61" s="120"/>
      <c r="AM61" s="120"/>
      <c r="AN61" s="120"/>
      <c r="AO61" s="9"/>
      <c r="AP61" s="315" t="s">
        <v>205</v>
      </c>
      <c r="AQ61" s="319">
        <v>2</v>
      </c>
      <c r="AR61" s="18"/>
      <c r="AS61" s="387" t="s">
        <v>242</v>
      </c>
      <c r="AT61" s="355" t="s">
        <v>243</v>
      </c>
      <c r="AU61" s="119"/>
      <c r="AV61" s="119"/>
      <c r="AW61" s="119"/>
      <c r="AX61" s="388"/>
      <c r="AY61" s="22"/>
      <c r="AZ61" s="70"/>
      <c r="BA61" s="22"/>
      <c r="BB61" s="58"/>
      <c r="BC61" s="22"/>
      <c r="BD61" s="60"/>
      <c r="BE61" s="412"/>
    </row>
    <row r="62" spans="1:57" ht="18.75" customHeight="1">
      <c r="A62" s="210"/>
      <c r="B62" s="125" t="s">
        <v>207</v>
      </c>
      <c r="C62" s="120"/>
      <c r="D62" s="119"/>
      <c r="E62" s="131"/>
      <c r="F62" s="119" t="s">
        <v>208</v>
      </c>
      <c r="G62" s="237"/>
      <c r="H62" s="120"/>
      <c r="I62" s="120"/>
      <c r="J62" s="120"/>
      <c r="K62" s="120"/>
      <c r="L62" s="1"/>
      <c r="M62" s="315" t="s">
        <v>205</v>
      </c>
      <c r="N62" s="319">
        <v>4</v>
      </c>
      <c r="O62" s="18"/>
      <c r="P62" s="364" t="s">
        <v>244</v>
      </c>
      <c r="Q62" s="151">
        <f>2*Class1_lvl</f>
        <v>8</v>
      </c>
      <c r="R62" s="120" t="s">
        <v>245</v>
      </c>
      <c r="S62" s="141"/>
      <c r="T62" s="65"/>
      <c r="U62" s="361"/>
      <c r="V62" s="22"/>
      <c r="W62" s="70"/>
      <c r="X62" s="22"/>
      <c r="Y62" s="58"/>
      <c r="Z62" s="22"/>
      <c r="AA62" s="60"/>
      <c r="AB62" s="416"/>
      <c r="AC62" s="59"/>
      <c r="AD62" s="412"/>
      <c r="AE62" s="125" t="s">
        <v>207</v>
      </c>
      <c r="AF62" s="120"/>
      <c r="AG62" s="119"/>
      <c r="AH62" s="131"/>
      <c r="AI62" s="119" t="s">
        <v>208</v>
      </c>
      <c r="AJ62" s="237"/>
      <c r="AK62" s="120"/>
      <c r="AL62" s="120"/>
      <c r="AM62" s="120"/>
      <c r="AN62" s="120"/>
      <c r="AO62" s="9"/>
      <c r="AP62" s="315" t="s">
        <v>205</v>
      </c>
      <c r="AQ62" s="319">
        <v>4</v>
      </c>
      <c r="AR62" s="18"/>
      <c r="AS62" s="389" t="s">
        <v>244</v>
      </c>
      <c r="AT62" s="151">
        <f>2*Class1_lvl</f>
        <v>8</v>
      </c>
      <c r="AU62" s="120" t="s">
        <v>245</v>
      </c>
      <c r="AV62" s="141"/>
      <c r="AW62" s="65"/>
      <c r="AX62" s="386"/>
      <c r="AY62" s="22"/>
      <c r="AZ62" s="70"/>
      <c r="BA62" s="22"/>
      <c r="BB62" s="58"/>
      <c r="BC62" s="22"/>
      <c r="BD62" s="60"/>
      <c r="BE62" s="412"/>
    </row>
    <row r="63" spans="1:57" ht="18.75" customHeight="1">
      <c r="A63" s="210"/>
      <c r="B63" s="125" t="s">
        <v>212</v>
      </c>
      <c r="C63" s="120"/>
      <c r="D63" s="120"/>
      <c r="E63" s="131"/>
      <c r="F63" s="119" t="s">
        <v>213</v>
      </c>
      <c r="G63" s="237"/>
      <c r="H63" s="119"/>
      <c r="I63" s="151"/>
      <c r="J63" s="119"/>
      <c r="K63" s="151"/>
      <c r="L63" s="1"/>
      <c r="M63" s="315" t="s">
        <v>205</v>
      </c>
      <c r="N63" s="319">
        <v>2</v>
      </c>
      <c r="O63" s="18"/>
      <c r="P63" s="365"/>
      <c r="Q63" s="1"/>
      <c r="R63" s="119" t="s">
        <v>246</v>
      </c>
      <c r="S63" s="65"/>
      <c r="T63" s="65"/>
      <c r="U63" s="361"/>
      <c r="V63" s="22"/>
      <c r="W63" s="70"/>
      <c r="X63" s="22"/>
      <c r="Y63" s="58"/>
      <c r="Z63" s="22"/>
      <c r="AA63" s="60"/>
      <c r="AB63" s="416"/>
      <c r="AC63" s="59"/>
      <c r="AD63" s="412"/>
      <c r="AE63" s="125" t="s">
        <v>212</v>
      </c>
      <c r="AF63" s="120"/>
      <c r="AG63" s="120"/>
      <c r="AH63" s="131"/>
      <c r="AI63" s="119" t="s">
        <v>213</v>
      </c>
      <c r="AJ63" s="237"/>
      <c r="AK63" s="119"/>
      <c r="AL63" s="151"/>
      <c r="AM63" s="119"/>
      <c r="AN63" s="151"/>
      <c r="AO63" s="9"/>
      <c r="AP63" s="315" t="s">
        <v>205</v>
      </c>
      <c r="AQ63" s="319">
        <v>2</v>
      </c>
      <c r="AR63" s="18"/>
      <c r="AS63" s="390"/>
      <c r="AT63" s="1"/>
      <c r="AU63" s="119" t="s">
        <v>246</v>
      </c>
      <c r="AV63" s="65"/>
      <c r="AW63" s="65"/>
      <c r="AX63" s="386"/>
      <c r="AY63" s="22"/>
      <c r="AZ63" s="70"/>
      <c r="BA63" s="22"/>
      <c r="BB63" s="58"/>
      <c r="BC63" s="22"/>
      <c r="BD63" s="60"/>
      <c r="BE63" s="412"/>
    </row>
    <row r="64" spans="1:57" ht="18.75" customHeight="1">
      <c r="A64" s="210"/>
      <c r="B64" s="125"/>
      <c r="C64" s="120"/>
      <c r="D64" s="120"/>
      <c r="E64" s="126"/>
      <c r="F64" s="232" t="s">
        <v>217</v>
      </c>
      <c r="G64" s="237"/>
      <c r="H64" s="233"/>
      <c r="I64" s="119"/>
      <c r="J64" s="119"/>
      <c r="K64" s="119"/>
      <c r="L64" s="1"/>
      <c r="M64" s="315" t="s">
        <v>205</v>
      </c>
      <c r="N64" s="319">
        <v>1</v>
      </c>
      <c r="O64" s="18"/>
      <c r="P64" s="364" t="s">
        <v>247</v>
      </c>
      <c r="Q64" s="355" t="s">
        <v>248</v>
      </c>
      <c r="R64" s="1"/>
      <c r="S64" s="1"/>
      <c r="T64" s="1"/>
      <c r="U64" s="361"/>
      <c r="V64" s="22"/>
      <c r="W64" s="70"/>
      <c r="X64" s="22"/>
      <c r="Y64" s="58"/>
      <c r="Z64" s="22"/>
      <c r="AA64" s="60"/>
      <c r="AB64" s="416"/>
      <c r="AC64" s="59"/>
      <c r="AD64" s="412"/>
      <c r="AE64" s="125"/>
      <c r="AF64" s="120"/>
      <c r="AG64" s="120"/>
      <c r="AH64" s="126"/>
      <c r="AI64" s="232" t="s">
        <v>217</v>
      </c>
      <c r="AJ64" s="237"/>
      <c r="AK64" s="233"/>
      <c r="AL64" s="119"/>
      <c r="AM64" s="119"/>
      <c r="AN64" s="119"/>
      <c r="AO64" s="9"/>
      <c r="AP64" s="315" t="s">
        <v>205</v>
      </c>
      <c r="AQ64" s="319">
        <v>1</v>
      </c>
      <c r="AR64" s="18"/>
      <c r="AS64" s="389" t="s">
        <v>247</v>
      </c>
      <c r="AT64" s="355" t="s">
        <v>248</v>
      </c>
      <c r="AU64" s="1"/>
      <c r="AV64" s="1"/>
      <c r="AW64" s="1"/>
      <c r="AX64" s="386"/>
      <c r="AY64" s="22"/>
      <c r="AZ64" s="70"/>
      <c r="BA64" s="22"/>
      <c r="BB64" s="58"/>
      <c r="BC64" s="22"/>
      <c r="BD64" s="60"/>
      <c r="BE64" s="412"/>
    </row>
    <row r="65" spans="1:57" ht="18.75" customHeight="1">
      <c r="A65" s="210"/>
      <c r="B65" s="127"/>
      <c r="C65" s="120"/>
      <c r="D65" s="128"/>
      <c r="E65" s="130"/>
      <c r="F65" s="173" t="s">
        <v>218</v>
      </c>
      <c r="G65" s="237"/>
      <c r="H65" s="172"/>
      <c r="I65" s="120"/>
      <c r="J65" s="1"/>
      <c r="K65" s="172"/>
      <c r="L65" s="120"/>
      <c r="M65" s="315" t="s">
        <v>205</v>
      </c>
      <c r="N65" s="319">
        <v>4</v>
      </c>
      <c r="O65" s="18"/>
      <c r="P65" s="362"/>
      <c r="Q65" s="119" t="s">
        <v>253</v>
      </c>
      <c r="R65" s="119"/>
      <c r="S65" s="119"/>
      <c r="T65" s="119"/>
      <c r="U65" s="363"/>
      <c r="V65" s="22"/>
      <c r="W65" s="70"/>
      <c r="X65" s="22"/>
      <c r="Y65" s="58"/>
      <c r="Z65" s="22"/>
      <c r="AA65" s="60"/>
      <c r="AB65" s="416"/>
      <c r="AC65" s="59"/>
      <c r="AD65" s="412"/>
      <c r="AE65" s="127"/>
      <c r="AF65" s="120"/>
      <c r="AG65" s="128"/>
      <c r="AH65" s="130"/>
      <c r="AI65" s="173" t="s">
        <v>218</v>
      </c>
      <c r="AJ65" s="237"/>
      <c r="AK65" s="172"/>
      <c r="AL65" s="120"/>
      <c r="AM65" s="1"/>
      <c r="AN65" s="172"/>
      <c r="AO65" s="120"/>
      <c r="AP65" s="315" t="s">
        <v>205</v>
      </c>
      <c r="AQ65" s="319">
        <v>4</v>
      </c>
      <c r="AR65" s="18"/>
      <c r="AS65" s="387"/>
      <c r="AT65" s="119" t="s">
        <v>253</v>
      </c>
      <c r="AU65" s="119"/>
      <c r="AV65" s="119"/>
      <c r="AW65" s="119"/>
      <c r="AX65" s="388"/>
      <c r="AY65" s="22"/>
      <c r="AZ65" s="70"/>
      <c r="BA65" s="22"/>
      <c r="BB65" s="58"/>
      <c r="BC65" s="22"/>
      <c r="BD65" s="60"/>
      <c r="BE65" s="412"/>
    </row>
    <row r="66" spans="1:57" ht="18.75" customHeight="1">
      <c r="A66" s="210"/>
      <c r="B66" s="125" t="str">
        <f>Hovedark!A66</f>
        <v>Rage!</v>
      </c>
      <c r="C66" s="120"/>
      <c r="D66" s="120"/>
      <c r="E66" s="131"/>
      <c r="F66" s="119" t="str">
        <f>Hovedark!E66</f>
        <v>Se Box på Rage-ark</v>
      </c>
      <c r="G66" s="237"/>
      <c r="H66" s="119"/>
      <c r="I66" s="119"/>
      <c r="J66" s="119"/>
      <c r="K66" s="119"/>
      <c r="L66" s="119"/>
      <c r="M66" s="119"/>
      <c r="N66" s="122"/>
      <c r="O66" s="18"/>
      <c r="P66" s="362"/>
      <c r="Q66" s="119" t="s">
        <v>255</v>
      </c>
      <c r="R66" s="119"/>
      <c r="S66" s="119"/>
      <c r="T66" s="119"/>
      <c r="U66" s="363"/>
      <c r="V66" s="22"/>
      <c r="W66" s="70"/>
      <c r="X66" s="22"/>
      <c r="Y66" s="58"/>
      <c r="Z66" s="22"/>
      <c r="AA66" s="60"/>
      <c r="AB66" s="416"/>
      <c r="AC66" s="59"/>
      <c r="AD66" s="412"/>
      <c r="AE66" s="125">
        <f>Hovedark!AB66</f>
        <v>0</v>
      </c>
      <c r="AF66" s="120"/>
      <c r="AG66" s="120"/>
      <c r="AH66" s="131"/>
      <c r="AI66" s="119">
        <f>Hovedark!AF66</f>
        <v>-6</v>
      </c>
      <c r="AJ66" s="237"/>
      <c r="AK66" s="119"/>
      <c r="AL66" s="119"/>
      <c r="AM66" s="119"/>
      <c r="AN66" s="119"/>
      <c r="AO66" s="119"/>
      <c r="AP66" s="119"/>
      <c r="AQ66" s="122"/>
      <c r="AR66" s="18"/>
      <c r="AS66" s="387"/>
      <c r="AT66" s="119" t="s">
        <v>255</v>
      </c>
      <c r="AU66" s="119"/>
      <c r="AV66" s="119"/>
      <c r="AW66" s="119"/>
      <c r="AX66" s="388"/>
      <c r="AY66" s="22"/>
      <c r="AZ66" s="70"/>
      <c r="BA66" s="22"/>
      <c r="BB66" s="58"/>
      <c r="BC66" s="22"/>
      <c r="BD66" s="60"/>
      <c r="BE66" s="412"/>
    </row>
    <row r="67" spans="1:57" ht="18.75" customHeight="1">
      <c r="A67" s="210"/>
      <c r="B67" s="125" t="s">
        <v>230</v>
      </c>
      <c r="C67" s="120"/>
      <c r="D67" s="120"/>
      <c r="E67" s="131" t="s">
        <v>234</v>
      </c>
      <c r="F67" s="119" t="s">
        <v>231</v>
      </c>
      <c r="G67" s="237"/>
      <c r="H67" s="119"/>
      <c r="I67" s="223"/>
      <c r="J67" s="223"/>
      <c r="K67" s="119"/>
      <c r="L67" s="119"/>
      <c r="M67" s="119"/>
      <c r="N67" s="122"/>
      <c r="O67" s="18"/>
      <c r="P67" s="436" t="s">
        <v>249</v>
      </c>
      <c r="Q67" s="119"/>
      <c r="R67" s="119"/>
      <c r="S67" s="119"/>
      <c r="T67" s="119"/>
      <c r="U67" s="363"/>
      <c r="V67" s="22"/>
      <c r="W67" s="70"/>
      <c r="X67" s="22"/>
      <c r="Y67" s="58"/>
      <c r="Z67" s="22"/>
      <c r="AA67" s="60"/>
      <c r="AB67" s="416"/>
      <c r="AC67" s="59"/>
      <c r="AD67" s="412"/>
      <c r="AE67" s="125" t="s">
        <v>230</v>
      </c>
      <c r="AF67" s="120"/>
      <c r="AG67" s="120"/>
      <c r="AH67" s="131" t="s">
        <v>234</v>
      </c>
      <c r="AI67" s="119" t="s">
        <v>231</v>
      </c>
      <c r="AJ67" s="237"/>
      <c r="AK67" s="119"/>
      <c r="AL67" s="223"/>
      <c r="AM67" s="223"/>
      <c r="AN67" s="119"/>
      <c r="AO67" s="119"/>
      <c r="AP67" s="119"/>
      <c r="AQ67" s="122"/>
      <c r="AR67" s="18"/>
      <c r="AS67" s="438" t="s">
        <v>249</v>
      </c>
      <c r="AT67" s="119"/>
      <c r="AU67" s="119"/>
      <c r="AV67" s="119"/>
      <c r="AW67" s="119"/>
      <c r="AX67" s="388"/>
      <c r="AY67" s="22"/>
      <c r="AZ67" s="70"/>
      <c r="BA67" s="22"/>
      <c r="BB67" s="58"/>
      <c r="BC67" s="22"/>
      <c r="BD67" s="60"/>
      <c r="BE67" s="412"/>
    </row>
    <row r="68" spans="1:57" ht="18.75" customHeight="1">
      <c r="A68" s="210"/>
      <c r="B68" s="127" t="s">
        <v>264</v>
      </c>
      <c r="C68" s="120"/>
      <c r="D68" s="129"/>
      <c r="E68" s="126"/>
      <c r="F68" s="119" t="s">
        <v>265</v>
      </c>
      <c r="G68" s="119"/>
      <c r="H68" s="119"/>
      <c r="I68" s="151"/>
      <c r="J68" s="119"/>
      <c r="K68" s="119"/>
      <c r="L68" s="119"/>
      <c r="M68" s="119"/>
      <c r="N68" s="122"/>
      <c r="O68" s="9"/>
      <c r="P68" s="437"/>
      <c r="Q68" s="119" t="s">
        <v>250</v>
      </c>
      <c r="R68" s="119"/>
      <c r="S68" s="119"/>
      <c r="T68" s="119"/>
      <c r="U68" s="363"/>
      <c r="V68" s="22"/>
      <c r="W68" s="70"/>
      <c r="X68" s="22"/>
      <c r="Y68" s="58"/>
      <c r="Z68" s="22"/>
      <c r="AA68" s="60"/>
      <c r="AB68" s="416"/>
      <c r="AC68" s="59"/>
      <c r="AD68" s="412"/>
      <c r="AE68" s="127" t="s">
        <v>264</v>
      </c>
      <c r="AF68" s="120"/>
      <c r="AG68" s="129"/>
      <c r="AH68" s="126"/>
      <c r="AI68" s="119" t="s">
        <v>265</v>
      </c>
      <c r="AJ68" s="119"/>
      <c r="AK68" s="119"/>
      <c r="AL68" s="151"/>
      <c r="AM68" s="119"/>
      <c r="AN68" s="119"/>
      <c r="AO68" s="119"/>
      <c r="AP68" s="119"/>
      <c r="AQ68" s="122"/>
      <c r="AR68" s="9"/>
      <c r="AS68" s="439"/>
      <c r="AT68" s="119" t="s">
        <v>250</v>
      </c>
      <c r="AU68" s="119"/>
      <c r="AV68" s="119"/>
      <c r="AW68" s="119"/>
      <c r="AX68" s="388"/>
      <c r="AY68" s="22"/>
      <c r="AZ68" s="70"/>
      <c r="BA68" s="22"/>
      <c r="BB68" s="58"/>
      <c r="BC68" s="22"/>
      <c r="BD68" s="60"/>
      <c r="BE68" s="412"/>
    </row>
    <row r="69" spans="1:57" ht="18.75" customHeight="1">
      <c r="A69" s="210"/>
      <c r="B69" s="127" t="s">
        <v>273</v>
      </c>
      <c r="C69" s="120"/>
      <c r="D69" s="129"/>
      <c r="E69" s="126"/>
      <c r="F69" s="448" t="s">
        <v>275</v>
      </c>
      <c r="G69" s="119" t="s">
        <v>274</v>
      </c>
      <c r="H69" s="119"/>
      <c r="I69" s="119"/>
      <c r="J69" s="119"/>
      <c r="K69" s="119"/>
      <c r="L69" s="119"/>
      <c r="M69" s="119"/>
      <c r="N69" s="122"/>
      <c r="O69" s="9"/>
      <c r="P69" s="362" t="s">
        <v>251</v>
      </c>
      <c r="Q69" s="119"/>
      <c r="R69" s="119"/>
      <c r="S69" s="119"/>
      <c r="T69" s="119"/>
      <c r="U69" s="363"/>
      <c r="V69" s="9"/>
      <c r="W69" s="61" t="s">
        <v>152</v>
      </c>
      <c r="X69" s="22"/>
      <c r="Y69" s="72"/>
      <c r="Z69" s="22"/>
      <c r="AA69" s="73">
        <f>SUM(AA47:AA68)</f>
        <v>10</v>
      </c>
      <c r="AB69" s="423"/>
      <c r="AC69" s="265"/>
      <c r="AD69" s="412"/>
      <c r="AE69" s="127" t="s">
        <v>273</v>
      </c>
      <c r="AF69" s="120"/>
      <c r="AG69" s="129"/>
      <c r="AH69" s="126"/>
      <c r="AI69" s="448" t="s">
        <v>275</v>
      </c>
      <c r="AJ69" s="119" t="s">
        <v>274</v>
      </c>
      <c r="AK69" s="119"/>
      <c r="AL69" s="119"/>
      <c r="AM69" s="119"/>
      <c r="AN69" s="119"/>
      <c r="AO69" s="119"/>
      <c r="AP69" s="119"/>
      <c r="AQ69" s="122"/>
      <c r="AR69" s="9"/>
      <c r="AS69" s="387" t="s">
        <v>251</v>
      </c>
      <c r="AT69" s="119"/>
      <c r="AU69" s="119"/>
      <c r="AV69" s="119"/>
      <c r="AW69" s="119"/>
      <c r="AX69" s="388"/>
      <c r="AY69" s="9"/>
      <c r="AZ69" s="61" t="s">
        <v>152</v>
      </c>
      <c r="BA69" s="22"/>
      <c r="BB69" s="72"/>
      <c r="BC69" s="22"/>
      <c r="BD69" s="73">
        <f>SUM(BD47:BD68)</f>
        <v>10</v>
      </c>
      <c r="BE69" s="412"/>
    </row>
    <row r="70" spans="1:57" ht="18.75" customHeight="1" thickBot="1">
      <c r="A70" s="210"/>
      <c r="B70" s="120" t="s">
        <v>280</v>
      </c>
      <c r="C70" s="120"/>
      <c r="D70" s="120"/>
      <c r="E70" s="131"/>
      <c r="F70" s="173" t="s">
        <v>281</v>
      </c>
      <c r="G70" s="119"/>
      <c r="H70" s="151">
        <f>J11</f>
        <v>4</v>
      </c>
      <c r="I70" s="119" t="s">
        <v>282</v>
      </c>
      <c r="J70" s="119"/>
      <c r="K70" s="119"/>
      <c r="L70" s="119"/>
      <c r="M70" s="119"/>
      <c r="N70" s="122"/>
      <c r="O70" s="9"/>
      <c r="P70" s="365"/>
      <c r="Q70" s="119" t="s">
        <v>252</v>
      </c>
      <c r="R70" s="119"/>
      <c r="S70" s="119"/>
      <c r="T70" s="119"/>
      <c r="U70" s="363"/>
      <c r="V70" s="1"/>
      <c r="W70" s="70" t="s">
        <v>65</v>
      </c>
      <c r="X70" s="22"/>
      <c r="Y70" s="74"/>
      <c r="Z70" s="22"/>
      <c r="AA70" s="75">
        <f>+wp1wgt+wp2wgt+wp3wgt+wp4wgt+armor1wgt+armor2wgt</f>
        <v>57</v>
      </c>
      <c r="AB70" s="416"/>
      <c r="AC70" s="59"/>
      <c r="AD70" s="412"/>
      <c r="AE70" s="120" t="s">
        <v>280</v>
      </c>
      <c r="AF70" s="120"/>
      <c r="AG70" s="120"/>
      <c r="AH70" s="131"/>
      <c r="AI70" s="173" t="s">
        <v>281</v>
      </c>
      <c r="AJ70" s="119"/>
      <c r="AK70" s="151">
        <f>AM11</f>
        <v>4</v>
      </c>
      <c r="AL70" s="119" t="s">
        <v>282</v>
      </c>
      <c r="AM70" s="119"/>
      <c r="AN70" s="119"/>
      <c r="AO70" s="119"/>
      <c r="AP70" s="119"/>
      <c r="AQ70" s="122"/>
      <c r="AR70" s="9"/>
      <c r="AS70" s="390"/>
      <c r="AT70" s="119" t="s">
        <v>252</v>
      </c>
      <c r="AU70" s="119"/>
      <c r="AV70" s="119"/>
      <c r="AW70" s="119"/>
      <c r="AX70" s="388"/>
      <c r="AY70" s="1"/>
      <c r="AZ70" s="70" t="s">
        <v>65</v>
      </c>
      <c r="BA70" s="22"/>
      <c r="BB70" s="74"/>
      <c r="BC70" s="22"/>
      <c r="BD70" s="75">
        <f>+wp1wgt+wp2wgt+wp3wgt+wp4wgt+armor1wgt+armor2wgt</f>
        <v>57</v>
      </c>
      <c r="BE70" s="412"/>
    </row>
    <row r="71" spans="1:57" ht="18.75" customHeight="1" thickBot="1">
      <c r="A71" s="210"/>
      <c r="B71" s="427"/>
      <c r="C71" s="224"/>
      <c r="D71" s="224"/>
      <c r="E71" s="225"/>
      <c r="F71" s="166"/>
      <c r="G71" s="428"/>
      <c r="H71" s="166"/>
      <c r="I71" s="166"/>
      <c r="J71" s="166"/>
      <c r="K71" s="166"/>
      <c r="L71" s="166"/>
      <c r="M71" s="224"/>
      <c r="N71" s="226"/>
      <c r="O71" s="9"/>
      <c r="P71" s="366"/>
      <c r="Q71" s="367"/>
      <c r="R71" s="367"/>
      <c r="S71" s="367"/>
      <c r="T71" s="367"/>
      <c r="U71" s="368"/>
      <c r="V71" s="9"/>
      <c r="W71" s="76" t="s">
        <v>61</v>
      </c>
      <c r="X71" s="24"/>
      <c r="Y71" s="77"/>
      <c r="Z71" s="24"/>
      <c r="AA71" s="73">
        <f>AA70+AA69</f>
        <v>67</v>
      </c>
      <c r="AB71" s="423"/>
      <c r="AC71" s="265"/>
      <c r="AD71" s="412"/>
      <c r="AE71" s="244"/>
      <c r="AF71" s="224"/>
      <c r="AG71" s="224"/>
      <c r="AH71" s="225"/>
      <c r="AI71" s="166"/>
      <c r="AJ71" s="237"/>
      <c r="AK71" s="166"/>
      <c r="AL71" s="166"/>
      <c r="AM71" s="166"/>
      <c r="AN71" s="166"/>
      <c r="AO71" s="166"/>
      <c r="AP71" s="224"/>
      <c r="AQ71" s="226"/>
      <c r="AR71" s="9"/>
      <c r="AS71" s="391"/>
      <c r="AT71" s="392"/>
      <c r="AU71" s="392"/>
      <c r="AV71" s="392"/>
      <c r="AW71" s="392"/>
      <c r="AX71" s="393"/>
      <c r="AY71" s="9"/>
      <c r="AZ71" s="76" t="s">
        <v>61</v>
      </c>
      <c r="BA71" s="24"/>
      <c r="BB71" s="77"/>
      <c r="BC71" s="24"/>
      <c r="BD71" s="73">
        <f>BD70+BD69</f>
        <v>67</v>
      </c>
      <c r="BE71" s="412"/>
    </row>
    <row r="72" spans="1:57" ht="6" customHeight="1">
      <c r="A72" s="210"/>
      <c r="B72" s="210"/>
      <c r="C72" s="210"/>
      <c r="D72" s="210"/>
      <c r="E72" s="210"/>
      <c r="F72" s="210"/>
      <c r="G72" s="424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</row>
    <row r="73" ht="15.75">
      <c r="AD73" s="413"/>
    </row>
  </sheetData>
  <mergeCells count="10">
    <mergeCell ref="L7:M7"/>
    <mergeCell ref="L3:M3"/>
    <mergeCell ref="P3:Q3"/>
    <mergeCell ref="V3:W3"/>
    <mergeCell ref="L5:M5"/>
    <mergeCell ref="AO7:AP7"/>
    <mergeCell ref="AO3:AP3"/>
    <mergeCell ref="AS3:AT3"/>
    <mergeCell ref="AY3:AZ3"/>
    <mergeCell ref="AO5:AP5"/>
  </mergeCells>
  <printOptions/>
  <pageMargins left="0.12" right="0.12" top="0.13" bottom="0.14" header="0.5" footer="0.5"/>
  <pageSetup fitToHeight="1" fitToWidth="1" horizontalDpi="600" verticalDpi="600" orientation="landscape" paperSize="9" scale="46" r:id="rId8"/>
  <drawing r:id="rId7"/>
  <legacyDrawing r:id="rId6"/>
  <oleObjects>
    <oleObject progId="CorelPHOTOPAINT.Image.13" shapeId="2864435" r:id="rId2"/>
    <oleObject progId="CorelPHOTOPAINT.Image.13" shapeId="7065742" r:id="rId3"/>
    <oleObject progId="CorelPHOTOPAINT.Image.13" shapeId="7387102" r:id="rId4"/>
    <oleObject progId="CorelPHOTOPAINT.Image.13" shapeId="744423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torkaj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Torleik Ravn</dc:creator>
  <cp:keywords/>
  <dc:description/>
  <cp:lastModifiedBy>Tue Michan</cp:lastModifiedBy>
  <cp:lastPrinted>2008-10-03T08:21:57Z</cp:lastPrinted>
  <dcterms:created xsi:type="dcterms:W3CDTF">2003-04-05T08:35:27Z</dcterms:created>
  <dcterms:modified xsi:type="dcterms:W3CDTF">2008-11-12T10:44:05Z</dcterms:modified>
  <cp:category/>
  <cp:version/>
  <cp:contentType/>
  <cp:contentStatus/>
</cp:coreProperties>
</file>