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2000" activeTab="0"/>
  </bookViews>
  <sheets>
    <sheet name="Hovedark" sheetId="1" r:id="rId1"/>
    <sheet name="Historie" sheetId="2" r:id="rId2"/>
    <sheet name="Divine spells" sheetId="3" r:id="rId3"/>
    <sheet name="Spells" sheetId="4" r:id="rId4"/>
    <sheet name="Summon Monster" sheetId="5" r:id="rId5"/>
    <sheet name="Maritime Domains" sheetId="6" r:id="rId6"/>
    <sheet name="Overvejelser" sheetId="7" r:id="rId7"/>
    <sheet name="ac &amp; check-mod" sheetId="8" state="hidden" r:id="rId8"/>
  </sheets>
  <definedNames>
    <definedName name="ac">'Hovedark'!$V$11</definedName>
    <definedName name="act">'Hovedark'!$V$13</definedName>
    <definedName name="acu">'Hovedark'!$V$12</definedName>
    <definedName name="armor1ac">'Hovedark'!$V$37</definedName>
    <definedName name="Armor1checkpen">'Hovedark'!$W$37</definedName>
    <definedName name="armor1maxdex">'Hovedark'!$T$37</definedName>
    <definedName name="armor1spellfail">'Hovedark'!$X$37</definedName>
    <definedName name="armor1type">'Hovedark'!$S$37</definedName>
    <definedName name="armor1wgt">'Hovedark'!$Z$37</definedName>
    <definedName name="armor2ac">'Hovedark'!$AE$29</definedName>
    <definedName name="Armor2checkpen">'Hovedark'!$W$37</definedName>
    <definedName name="Armor2dexmax">'Hovedark'!$AD$29</definedName>
    <definedName name="Armor2maxdex">'Hovedark'!$AD$29</definedName>
    <definedName name="armor2spellfail">'Hovedark'!$AF$29</definedName>
    <definedName name="armor2type">'Hovedark'!$AC$29</definedName>
    <definedName name="armor2wgt">'Hovedark'!$AG$29</definedName>
    <definedName name="armor3ac">'Hovedark'!#REF!</definedName>
    <definedName name="armor3wgt">'Hovedark'!#REF!</definedName>
    <definedName name="armortype1">'Hovedark'!$S$37</definedName>
    <definedName name="cha">'Hovedark'!$B$16</definedName>
    <definedName name="chamod">'Hovedark'!$D$16</definedName>
    <definedName name="Chr_lvl">'Hovedark'!$R$5</definedName>
    <definedName name="Class1">'Hovedark'!$I$5</definedName>
    <definedName name="Class1_lvl">'Hovedark'!$K$5</definedName>
    <definedName name="Class2">'Hovedark'!$I$7</definedName>
    <definedName name="Class2_lvl">'Hovedark'!$K$7</definedName>
    <definedName name="con">'Hovedark'!$B$13</definedName>
    <definedName name="conmod">'Hovedark'!$D$13</definedName>
    <definedName name="dex">'Hovedark'!$B$12</definedName>
    <definedName name="dexmod">'Hovedark'!$D$12</definedName>
    <definedName name="Fsave">'Hovedark'!$O$12</definedName>
    <definedName name="heavycheckpen">'Hovedark'!$T$45</definedName>
    <definedName name="heavymaxdex">'Hovedark'!$T$44</definedName>
    <definedName name="Heavyweight">'Hovedark'!$T$41</definedName>
    <definedName name="heavyweightstatus">'Hovedark'!$T$46</definedName>
    <definedName name="heavyweigt">'Hovedark'!#REF!</definedName>
    <definedName name="hp">'Hovedark'!$G$15</definedName>
    <definedName name="init">'Hovedark'!$V$15</definedName>
    <definedName name="int">'Hovedark'!$B$14</definedName>
    <definedName name="intmod">'Hovedark'!$D$14</definedName>
    <definedName name="level">'Hovedark'!$M$5</definedName>
    <definedName name="Lightweight">'Hovedark'!$R$41</definedName>
    <definedName name="lightweightstatus">'Hovedark'!$R$46</definedName>
    <definedName name="lvk">'Hovedark'!$M$5</definedName>
    <definedName name="lvl">'Hovedark'!#REF!</definedName>
    <definedName name="mediumcheckpen">'Hovedark'!$S$45</definedName>
    <definedName name="mediummaxdex">'Hovedark'!$S$44</definedName>
    <definedName name="Mediumweight">'Hovedark'!$S$41</definedName>
    <definedName name="mediumweightstatus">'Hovedark'!$S$46</definedName>
    <definedName name="mmod">'Hovedark'!$H$11</definedName>
    <definedName name="Navn">'Hovedark'!$C$3</definedName>
    <definedName name="rmod">'Hovedark'!$H$12</definedName>
    <definedName name="Rsave">'Hovedark'!$O$11</definedName>
    <definedName name="skil_lsn">'Hovedark'!$D$34</definedName>
    <definedName name="skill_app">'Hovedark'!$D$20</definedName>
    <definedName name="skill_bal">'Hovedark'!$D$21</definedName>
    <definedName name="skill_blf">'Hovedark'!$D$22</definedName>
    <definedName name="skill_clm">'Hovedark'!$D$23</definedName>
    <definedName name="skill_con">'Hovedark'!$D$24</definedName>
    <definedName name="skill_dip">'Hovedark'!$D$25</definedName>
    <definedName name="skill_dsg">'Hovedark'!$D$26</definedName>
    <definedName name="skill_esc">'Hovedark'!$D$27</definedName>
    <definedName name="skill_for">'Hovedark'!$D$28</definedName>
    <definedName name="skill_hea">'Hovedark'!$D$30</definedName>
    <definedName name="skill_hid">'Hovedark'!$D$31</definedName>
    <definedName name="skill_inf">'Hovedark'!$D$29</definedName>
    <definedName name="skill_int">'Hovedark'!$D$32</definedName>
    <definedName name="skill_jmp">'Hovedark'!$D$33</definedName>
    <definedName name="skill_lsn">'Hovedark'!$D$34</definedName>
    <definedName name="skill_mov">'Hovedark'!$D$35</definedName>
    <definedName name="skill_prf">'Hovedark'!$D$36</definedName>
    <definedName name="skill_rid">'Hovedark'!$D$37</definedName>
    <definedName name="skill_rpe">'Hovedark'!$D$43</definedName>
    <definedName name="skill_sch">'Hovedark'!$D$38</definedName>
    <definedName name="skill_sns">'Hovedark'!$D$39</definedName>
    <definedName name="skill_spt">'Hovedark'!$D$40</definedName>
    <definedName name="skill_srv">'Hovedark'!$D$41</definedName>
    <definedName name="skill_swm">'Hovedark'!$D$42</definedName>
    <definedName name="skill_tmb">'Hovedark'!$D$48</definedName>
    <definedName name="skll_sch">'Hovedark'!$D$38</definedName>
    <definedName name="str">'Hovedark'!$B$11</definedName>
    <definedName name="strmod">'Hovedark'!$D$11</definedName>
    <definedName name="sys">'Hovedark'!$G$16</definedName>
    <definedName name="totalweight">'Hovedark'!$Z$69</definedName>
    <definedName name="_xlnm.Print_Area" localSheetId="2">'Divine spells'!$A$1:$S$66</definedName>
    <definedName name="_xlnm.Print_Area" localSheetId="1">'Historie'!$A$2:$L$30</definedName>
    <definedName name="_xlnm.Print_Area" localSheetId="0">'Hovedark'!$A$1:$Z$69</definedName>
    <definedName name="_xlnm.Print_Titles" localSheetId="2">'Divine spells'!$1:$3</definedName>
    <definedName name="wis">'Hovedark'!$B$15</definedName>
    <definedName name="wismod">'Hovedark'!$D$15</definedName>
    <definedName name="wp1attack">'Hovedark'!$V$23</definedName>
    <definedName name="wp1attbonus">'Hovedark'!$S$23</definedName>
    <definedName name="wp1dmg_bonus">'Hovedark'!$Y$23</definedName>
    <definedName name="wp1dmg_dice">'Hovedark'!$X$23</definedName>
    <definedName name="wp1dmgbonus">'Hovedark'!$T$23</definedName>
    <definedName name="wp1name">'Hovedark'!$O$23</definedName>
    <definedName name="wp1type">'Hovedark'!$X$24</definedName>
    <definedName name="wp1wgt">'Hovedark'!$Z$24</definedName>
    <definedName name="wp2attack">'Hovedark'!$V$19</definedName>
    <definedName name="wp2attbonus">'Hovedark'!$S$19</definedName>
    <definedName name="wp2dmg_bonus">'Hovedark'!$Y$19</definedName>
    <definedName name="wp2dmg_dice">'Hovedark'!$X$19</definedName>
    <definedName name="wp2dmgbonus">'Hovedark'!$T$19</definedName>
    <definedName name="wp2type">'Hovedark'!$X$20</definedName>
    <definedName name="wp2wgt">'Hovedark'!$Z$20</definedName>
    <definedName name="wp3attack">'Hovedark'!$V$27</definedName>
    <definedName name="wp3attbonus">'Hovedark'!$S$27</definedName>
    <definedName name="wp3dmg_bonus">'Hovedark'!$Y$27</definedName>
    <definedName name="wp3dmg_dice">'Hovedark'!$X$27</definedName>
    <definedName name="wp3dmgbonus">'Hovedark'!$T$27</definedName>
    <definedName name="wp3type">'Hovedark'!$X$28</definedName>
    <definedName name="wp3wgt">'Hovedark'!$Z$28</definedName>
    <definedName name="wp4attack">'Hovedark'!$V$31</definedName>
    <definedName name="wp4attbonus">'Hovedark'!$S$31</definedName>
    <definedName name="wp4dmg_bonus">'Hovedark'!$Y$31</definedName>
    <definedName name="wp4dmg_dice">'Hovedark'!$X$31</definedName>
    <definedName name="wp4dmgbonus">'Hovedark'!$T$31</definedName>
    <definedName name="wp4type">'Hovedark'!$X$32</definedName>
    <definedName name="wp4wgt">'Hovedark'!$Z$32</definedName>
    <definedName name="Wsave">'Hovedark'!$O$13</definedName>
    <definedName name="xp">'Hovedark'!$P$5</definedName>
  </definedNames>
  <calcPr fullCalcOnLoad="1"/>
</workbook>
</file>

<file path=xl/comments1.xml><?xml version="1.0" encoding="utf-8"?>
<comments xmlns="http://schemas.openxmlformats.org/spreadsheetml/2006/main">
  <authors>
    <author>?jvind Borggreen</author>
    <author>?</author>
    <author>?jvind</author>
  </authors>
  <commentList>
    <comment ref="X11" authorId="0">
      <text>
        <r>
          <rPr>
            <sz val="8"/>
            <rFont val="Tahoma"/>
            <family val="0"/>
          </rPr>
          <t xml:space="preserve">En helt vildt formel, der checker maxdex alt efter hvilket rustning og hvilken vægt. Se næste ark (ac-mod), hvor den er skrevet ud i overskuelig form. 
</t>
        </r>
      </text>
    </comment>
    <comment ref="F19" authorId="0">
      <text>
        <r>
          <rPr>
            <sz val="8"/>
            <rFont val="Tahoma"/>
            <family val="2"/>
          </rPr>
          <t>"ranks" er betegnelsen på de "slots" man selv fylder i. Tillægges diverse bounser og straffe, får man Total skill mod. Max. Ranks = levl + 3</t>
        </r>
      </text>
    </comment>
    <comment ref="Y23" authorId="0">
      <text>
        <r>
          <rPr>
            <sz val="8"/>
            <rFont val="Tahoma"/>
            <family val="0"/>
          </rPr>
          <t>Str.bonus til melee og trown. Dex.bonus tillægges aldrig. 
Ikke med i formlen: Hvis str.bonus er negativ lægges den til for sling og bue. Våben i off.hand får ½ str.bunos, våben m. 2 hænder får 1½ str.bonus.</t>
        </r>
      </text>
    </comment>
    <comment ref="H19" authorId="0">
      <text>
        <r>
          <rPr>
            <sz val="8"/>
            <rFont val="Tahoma"/>
            <family val="0"/>
          </rPr>
          <t>Skrives hvis den normalt dækker, men ikke hvis det kun er særligt. Uddybes uanset hvad i "remarks"</t>
        </r>
      </text>
    </comment>
    <comment ref="Q46" authorId="0">
      <text>
        <r>
          <rPr>
            <sz val="8"/>
            <rFont val="Tahoma"/>
            <family val="0"/>
          </rPr>
          <t>Ny linie der viser hvor man er og hvor lagt der er til omkringliggende grænser</t>
        </r>
      </text>
    </comment>
    <comment ref="Q41" authorId="0">
      <text>
        <r>
          <rPr>
            <b/>
            <sz val="8"/>
            <rFont val="Tahoma"/>
            <family val="0"/>
          </rPr>
          <t>Slår op i tabellen efter aktuel Strenght</t>
        </r>
      </text>
    </comment>
    <comment ref="Y19" authorId="0">
      <text>
        <r>
          <rPr>
            <sz val="8"/>
            <rFont val="Tahoma"/>
            <family val="0"/>
          </rPr>
          <t>Str.bonus til melee og trown. Dex.bonus tillægges aldrig. 
Ikke med i formlen: Hvis str.bonus er negativ lægges den til for sling og bue. Våben i off.hand får ½ str.bunos, våben m. 2 hænder får 1½ str.bonus.</t>
        </r>
      </text>
    </comment>
    <comment ref="Y27" authorId="0">
      <text>
        <r>
          <rPr>
            <sz val="8"/>
            <rFont val="Tahoma"/>
            <family val="0"/>
          </rPr>
          <t>Str.bonus til melee og trown. Dex.bonus tillægges aldrig. 
Ikke med i formlen: Hvis str.bonus er negativ lægges den til for sling og bue. Våben i off.hand får ½ str.bunos, våben m. 2 hænder får 1½ str.bonus.</t>
        </r>
      </text>
    </comment>
    <comment ref="Y31" authorId="0">
      <text>
        <r>
          <rPr>
            <sz val="8"/>
            <rFont val="Tahoma"/>
            <family val="0"/>
          </rPr>
          <t>Str.bonus til melee og trown. Dex.bonus tillægges aldrig. 
Ikke med i formlen: Hvis str.bonus er negativ lægges den til for sling og bue. Våben i off.hand får ½ str.bunos, våben m. 2 hænder får 1½ str.bonus.</t>
        </r>
      </text>
    </comment>
    <comment ref="A60" authorId="1">
      <text>
        <r>
          <rPr>
            <b/>
            <sz val="8"/>
            <rFont val="Tahoma"/>
            <family val="0"/>
          </rPr>
          <t>ø:</t>
        </r>
        <r>
          <rPr>
            <sz val="8"/>
            <rFont val="Tahoma"/>
            <family val="0"/>
          </rPr>
          <t xml:space="preserve">
Elverbonus</t>
        </r>
      </text>
    </comment>
    <comment ref="A59" authorId="1">
      <text>
        <r>
          <rPr>
            <b/>
            <sz val="8"/>
            <rFont val="Tahoma"/>
            <family val="0"/>
          </rPr>
          <t>ø:</t>
        </r>
        <r>
          <rPr>
            <sz val="8"/>
            <rFont val="Tahoma"/>
            <family val="0"/>
          </rPr>
          <t xml:space="preserve">
Elverbonus</t>
        </r>
      </text>
    </comment>
    <comment ref="A58" authorId="1">
      <text>
        <r>
          <rPr>
            <b/>
            <sz val="8"/>
            <rFont val="Tahoma"/>
            <family val="0"/>
          </rPr>
          <t>ø:</t>
        </r>
        <r>
          <rPr>
            <sz val="8"/>
            <rFont val="Tahoma"/>
            <family val="0"/>
          </rPr>
          <t xml:space="preserve">
Cleric + Elver bonus prof.</t>
        </r>
      </text>
    </comment>
    <comment ref="A63" authorId="1">
      <text>
        <r>
          <rPr>
            <b/>
            <sz val="8"/>
            <rFont val="Tahoma"/>
            <family val="0"/>
          </rPr>
          <t>ø:</t>
        </r>
        <r>
          <rPr>
            <sz val="8"/>
            <rFont val="Tahoma"/>
            <family val="0"/>
          </rPr>
          <t xml:space="preserve">
Strom Domain Power</t>
        </r>
      </text>
    </comment>
    <comment ref="A61" authorId="1">
      <text>
        <r>
          <rPr>
            <b/>
            <sz val="8"/>
            <rFont val="Tahoma"/>
            <family val="0"/>
          </rPr>
          <t>ø:</t>
        </r>
        <r>
          <rPr>
            <sz val="8"/>
            <rFont val="Tahoma"/>
            <family val="0"/>
          </rPr>
          <t xml:space="preserve">
Elver bonus</t>
        </r>
      </text>
    </comment>
    <comment ref="A65" authorId="1">
      <text>
        <r>
          <rPr>
            <b/>
            <sz val="8"/>
            <rFont val="Tahoma"/>
            <family val="0"/>
          </rPr>
          <t>ø:</t>
        </r>
        <r>
          <rPr>
            <sz val="8"/>
            <rFont val="Tahoma"/>
            <family val="0"/>
          </rPr>
          <t xml:space="preserve">
1. lvl ord. Feat</t>
        </r>
      </text>
    </comment>
    <comment ref="H34" authorId="2">
      <text>
        <r>
          <rPr>
            <b/>
            <sz val="8"/>
            <rFont val="Tahoma"/>
            <family val="0"/>
          </rPr>
          <t>Øjvind:</t>
        </r>
        <r>
          <rPr>
            <sz val="8"/>
            <rFont val="Tahoma"/>
            <family val="0"/>
          </rPr>
          <t xml:space="preserve">
Elverbonus</t>
        </r>
      </text>
    </comment>
    <comment ref="H38" authorId="2">
      <text>
        <r>
          <rPr>
            <b/>
            <sz val="8"/>
            <rFont val="Tahoma"/>
            <family val="0"/>
          </rPr>
          <t>Øjvind:</t>
        </r>
        <r>
          <rPr>
            <sz val="8"/>
            <rFont val="Tahoma"/>
            <family val="0"/>
          </rPr>
          <t xml:space="preserve">
Elverbonus</t>
        </r>
      </text>
    </comment>
    <comment ref="H40" authorId="2">
      <text>
        <r>
          <rPr>
            <b/>
            <sz val="8"/>
            <rFont val="Tahoma"/>
            <family val="0"/>
          </rPr>
          <t>Øjvind:</t>
        </r>
        <r>
          <rPr>
            <sz val="8"/>
            <rFont val="Tahoma"/>
            <family val="0"/>
          </rPr>
          <t xml:space="preserve">
Elverbonus</t>
        </r>
      </text>
    </comment>
    <comment ref="A62" authorId="2">
      <text>
        <r>
          <rPr>
            <b/>
            <sz val="8"/>
            <rFont val="Tahoma"/>
            <family val="0"/>
          </rPr>
          <t>Øjvind:</t>
        </r>
        <r>
          <rPr>
            <sz val="8"/>
            <rFont val="Tahoma"/>
            <family val="0"/>
          </rPr>
          <t xml:space="preserve">
Ocean Domain Power</t>
        </r>
      </text>
    </comment>
    <comment ref="M19" authorId="2">
      <text>
        <r>
          <rPr>
            <b/>
            <sz val="8"/>
            <rFont val="Tahoma"/>
            <family val="0"/>
          </rPr>
          <t>Øjvind:</t>
        </r>
        <r>
          <rPr>
            <sz val="8"/>
            <rFont val="Tahoma"/>
            <family val="0"/>
          </rPr>
          <t xml:space="preserve">
Blå = maritime skills
Råd = fighter skills
Grøn = Cleric Skills
Nedtonet = cc skills</t>
        </r>
      </text>
    </comment>
    <comment ref="A68" authorId="2">
      <text>
        <r>
          <rPr>
            <b/>
            <sz val="8"/>
            <rFont val="Tahoma"/>
            <family val="0"/>
          </rPr>
          <t>Øjvind:</t>
        </r>
        <r>
          <rPr>
            <sz val="8"/>
            <rFont val="Tahoma"/>
            <family val="0"/>
          </rPr>
          <t xml:space="preserve">
6. lvl ord.</t>
        </r>
      </text>
    </comment>
    <comment ref="A66" authorId="2">
      <text>
        <r>
          <rPr>
            <b/>
            <sz val="8"/>
            <rFont val="Tahoma"/>
            <family val="0"/>
          </rPr>
          <t>Øjvind:</t>
        </r>
        <r>
          <rPr>
            <sz val="8"/>
            <rFont val="Tahoma"/>
            <family val="0"/>
          </rPr>
          <t xml:space="preserve">
1.lvl fighter bonus</t>
        </r>
      </text>
    </comment>
    <comment ref="H41" authorId="2">
      <text>
        <r>
          <rPr>
            <b/>
            <sz val="8"/>
            <rFont val="Tahoma"/>
            <family val="0"/>
          </rPr>
          <t>Øjvind:</t>
        </r>
        <r>
          <rPr>
            <sz val="8"/>
            <rFont val="Tahoma"/>
            <family val="0"/>
          </rPr>
          <t xml:space="preserve">
Fra knowl (nature) - over jorden
Fra Knowl (Geo) - retning og naturlige hazards</t>
        </r>
      </text>
    </comment>
    <comment ref="A67" authorId="2">
      <text>
        <r>
          <rPr>
            <b/>
            <sz val="8"/>
            <rFont val="Tahoma"/>
            <family val="0"/>
          </rPr>
          <t>Øjvind:</t>
        </r>
        <r>
          <rPr>
            <sz val="8"/>
            <rFont val="Tahoma"/>
            <family val="0"/>
          </rPr>
          <t xml:space="preserve">
3. lvl ord. Feat</t>
        </r>
      </text>
    </comment>
  </commentList>
</comments>
</file>

<file path=xl/comments3.xml><?xml version="1.0" encoding="utf-8"?>
<comments xmlns="http://schemas.openxmlformats.org/spreadsheetml/2006/main">
  <authors>
    <author>?jvind</author>
    <author>Birgitte Andersen</author>
  </authors>
  <commentList>
    <comment ref="F3" authorId="0">
      <text>
        <r>
          <rPr>
            <b/>
            <sz val="8"/>
            <rFont val="Tahoma"/>
            <family val="2"/>
          </rPr>
          <t>A: Air</t>
        </r>
        <r>
          <rPr>
            <sz val="8"/>
            <rFont val="Tahoma"/>
            <family val="0"/>
          </rPr>
          <t xml:space="preserve">
Ca: Chaotic
Cr: Creation
Da: Darkness
De: Death
E: Earth
</t>
        </r>
        <r>
          <rPr>
            <b/>
            <sz val="8"/>
            <rFont val="Tahoma"/>
            <family val="2"/>
          </rPr>
          <t>El: Electricity</t>
        </r>
        <r>
          <rPr>
            <sz val="8"/>
            <rFont val="Tahoma"/>
            <family val="0"/>
          </rPr>
          <t xml:space="preserve">
F: Fear
Fi: Fire
Fo: Force
G: good
L: Light
Lf: Lawfull
Ld: Language-dependent
Ma: Mindaffecting
</t>
        </r>
        <r>
          <rPr>
            <b/>
            <sz val="8"/>
            <rFont val="Tahoma"/>
            <family val="2"/>
          </rPr>
          <t>S: Sonic</t>
        </r>
        <r>
          <rPr>
            <sz val="8"/>
            <rFont val="Tahoma"/>
            <family val="0"/>
          </rPr>
          <t xml:space="preserve">
Txt: Se txt
</t>
        </r>
        <r>
          <rPr>
            <b/>
            <sz val="8"/>
            <rFont val="Tahoma"/>
            <family val="2"/>
          </rPr>
          <t>W: Water</t>
        </r>
        <r>
          <rPr>
            <sz val="8"/>
            <rFont val="Tahoma"/>
            <family val="0"/>
          </rPr>
          <t xml:space="preserve">
</t>
        </r>
      </text>
    </comment>
    <comment ref="H3" authorId="1">
      <text>
        <r>
          <rPr>
            <sz val="8"/>
            <rFont val="Tahoma"/>
            <family val="0"/>
          </rPr>
          <t xml:space="preserve">ph = Players handbook
mf = Magic of Fearun
</t>
        </r>
      </text>
    </comment>
    <comment ref="N3" authorId="0">
      <text>
        <r>
          <rPr>
            <sz val="8"/>
            <rFont val="Tahoma"/>
            <family val="2"/>
          </rPr>
          <t>Angiver mit "attack" med pågældende spell mod fjende med spell-resistance</t>
        </r>
        <r>
          <rPr>
            <sz val="8"/>
            <rFont val="Tahoma"/>
            <family val="0"/>
          </rPr>
          <t xml:space="preserve">
</t>
        </r>
      </text>
    </comment>
  </commentList>
</comments>
</file>

<file path=xl/sharedStrings.xml><?xml version="1.0" encoding="utf-8"?>
<sst xmlns="http://schemas.openxmlformats.org/spreadsheetml/2006/main" count="2697" uniqueCount="1223">
  <si>
    <t xml:space="preserve">Ranks pr. lvl, fighter: </t>
  </si>
  <si>
    <t>Weapon finesse</t>
  </si>
  <si>
    <t>ph. 102</t>
  </si>
  <si>
    <t>Dex-bonus til Attack (i stedet for Str.bonus)</t>
  </si>
  <si>
    <t>Improved turning</t>
  </si>
  <si>
    <t>ph. 96</t>
  </si>
  <si>
    <t>over jorden, +2 til retning og hazards</t>
  </si>
  <si>
    <t>Piercing, Weapon finesse</t>
  </si>
  <si>
    <t xml:space="preserve">Turner som  + </t>
  </si>
  <si>
    <t>lvl  Cleric</t>
  </si>
  <si>
    <t>**) kan forbedres med</t>
  </si>
  <si>
    <t>Precise shot</t>
  </si>
  <si>
    <t>Kan frit skyde ind i melee (tager ikke -4 til attack)</t>
  </si>
  <si>
    <t>OBS: Pint blank: +1 til attack og dmg., ikke medregnet; Kan skyde ind i kamp</t>
  </si>
  <si>
    <t>Svømmepotium</t>
  </si>
  <si>
    <t>opdateret</t>
  </si>
  <si>
    <t>Kompas</t>
  </si>
  <si>
    <t>Parfume (Dip. +10) (3)</t>
  </si>
  <si>
    <t>Søkort over området (+4)</t>
  </si>
  <si>
    <t>+4  til navigation fra søkort</t>
  </si>
  <si>
    <t>Navigation</t>
  </si>
  <si>
    <t>Styre skib</t>
  </si>
  <si>
    <t xml:space="preserve">Min bonus: </t>
  </si>
  <si>
    <t xml:space="preserve">Mod. (skema  s. 86): Kendskab/nærhed af mål, kendskab til startpunkt, søkort og andet </t>
  </si>
  <si>
    <r>
      <t>Sætte kursen</t>
    </r>
    <r>
      <rPr>
        <sz val="9"/>
        <rFont val="Arial"/>
        <family val="2"/>
      </rPr>
      <t xml:space="preserve"> - ved start en tur, og når du er faret vild og skal sætte ny</t>
    </r>
  </si>
  <si>
    <r>
      <t>Plotte position</t>
    </r>
    <r>
      <rPr>
        <sz val="9"/>
        <rFont val="Arial"/>
        <family val="2"/>
      </rPr>
      <t xml:space="preserve"> - en gang dagligt. 3 miss i træk og man er faret vild</t>
    </r>
  </si>
  <si>
    <t xml:space="preserve">Mod. (skema s. 87): Kendskab til kystlinie og vejret, tidligere miss </t>
  </si>
  <si>
    <t>Alm. godt vejr ingen check. I øvirgt efter omstændighederne</t>
  </si>
  <si>
    <r>
      <t>Tage vand ind.</t>
    </r>
    <r>
      <rPr>
        <sz val="9"/>
        <rFont val="Arial"/>
        <family val="2"/>
      </rPr>
      <t xml:space="preserve"> (skema  s. 88) Pr. dag, time el. minut. + skibets sødygtighed</t>
    </r>
  </si>
  <si>
    <t>Blå svømme ring, +5</t>
  </si>
  <si>
    <t>ring</t>
  </si>
  <si>
    <t>+1 Rapier</t>
  </si>
  <si>
    <t>Healing wand (d8+1) (13)</t>
  </si>
  <si>
    <t>Periapt of wisdom +2</t>
  </si>
  <si>
    <t>+1 Stud. Leather armor</t>
  </si>
  <si>
    <t>Healing wand (d8+1) (8)</t>
  </si>
  <si>
    <t>Healing potium (2d8+3)</t>
  </si>
  <si>
    <t>Potium of Bears endurence</t>
  </si>
  <si>
    <t>ph 196</t>
  </si>
  <si>
    <t>Kan gøre et våben good/evil/lawful/chaotic for at overkomme dmg.reduction.</t>
  </si>
  <si>
    <t>Våben/50 pile</t>
  </si>
  <si>
    <t>ph 202</t>
  </si>
  <si>
    <t>+4 til Con. og hvad deraf følger. HP er ikke temp. HP.</t>
  </si>
  <si>
    <t>+4 til Str.</t>
  </si>
  <si>
    <t>ph 207</t>
  </si>
  <si>
    <t>Beroliger et ophidset monster. Undertrykker effekter så som bless, good hope, inspire courage (barder) og rage (barbarer). Forsvinder hvis man tager skade.</t>
  </si>
  <si>
    <t>Creat. i 20 f. spread</t>
  </si>
  <si>
    <t>Blesser et areal: +3 til turn undead, -1 til undeads att., dmg og save. Hvis arealet indeholder sybol for min Gud, da fordobles effekten. Kan også skade et andet hellig symbol (men da ikke bouseffekter oveni)</t>
  </si>
  <si>
    <t>20 f. emanation</t>
  </si>
  <si>
    <t>Får et objekt til at lyse mørke, concealment (20%). Alm. lys og magisk fra lavere remser hjælper ikke.</t>
  </si>
  <si>
    <t>Da</t>
  </si>
  <si>
    <t>Bedst</t>
  </si>
  <si>
    <t>Monster</t>
  </si>
  <si>
    <t>Land</t>
  </si>
  <si>
    <t>Vand</t>
  </si>
  <si>
    <t>Luften</t>
  </si>
  <si>
    <t>Magisk, Smite Evil 1 pr. dag: Lægger sin HD til skaden max +20</t>
  </si>
  <si>
    <t>Fra 4 HD er natural attacks magical for at overkomme DR</t>
  </si>
  <si>
    <t>Renser mad og drikke som er råddent, giftigt mv. så det er spiseligt. Unholy water ødelægges.</t>
  </si>
  <si>
    <t>Giver immunitet. Og udsætter allerede værende effekter. Fjerner ikke giften eller skade taget herfra.</t>
  </si>
  <si>
    <t>ph 217</t>
  </si>
  <si>
    <t>+4 til Cha.</t>
  </si>
  <si>
    <t>Tryllebinde en gruppe, hvis du har deres opmærksomhed. Holder så længe du taler/synger + d3 rnd. efter.</t>
  </si>
  <si>
    <t>S, Ma</t>
  </si>
  <si>
    <t>1-flere ceat.</t>
  </si>
  <si>
    <t>på til 1 time</t>
  </si>
  <si>
    <t>Find Traps</t>
  </si>
  <si>
    <t>ph 230</t>
  </si>
  <si>
    <t>Kan få et lig til at holde sig (under transport til ressurection f.eks.)</t>
  </si>
  <si>
    <t>ph 235</t>
  </si>
  <si>
    <t>Lig</t>
  </si>
  <si>
    <t xml:space="preserve">Laver strk. 9 vind (22m/s, 80 km/t). Alm. effekt (sand, vand, stof osv.). -4 til ranged og Listen. Åben ild går ud, lanterner 50 % risk. Medium kan ikke gå imod, og hvis flyvende d6x5 fod væk. </t>
  </si>
  <si>
    <t>A</t>
  </si>
  <si>
    <t>60 f. Line</t>
  </si>
  <si>
    <t>Fjende bliver paralyseret, kan opfatte alt men intet gøre. Nyt Save hver runde (full-round action, ikke frit hug)</t>
  </si>
  <si>
    <t xml:space="preserve"> 1 humanoid creat.</t>
  </si>
  <si>
    <t>Som mending, men reparerer større ting med flere skader helt som ny. Dog ikke pulveriseret mv. Ikke magiske genstande.</t>
  </si>
  <si>
    <t>ph 252</t>
  </si>
  <si>
    <t>+ 4 til Wis. Remsekastere med WIS-baserede remser får ikke bonusremser</t>
  </si>
  <si>
    <t>ph 259</t>
  </si>
  <si>
    <t>Ophæver paralyse, slow ghouls touch mv. fra 1 creat. (ingen save), 2 creat. (+4 save), 3-4 creat. (+2 save).</t>
  </si>
  <si>
    <t>4 creat. Ingen må være &gt; 30 f. væk</t>
  </si>
  <si>
    <t>Fjerner magi der sænker abilityscore. Kurerer midlertidig ability-nedgang med 1d4 point. Fjerner træthed/udmattethed hos personen.</t>
  </si>
  <si>
    <t>3 rnd.s</t>
  </si>
  <si>
    <t>5 f. spread, 1 mas. obj., el. 1 crystal monster</t>
  </si>
  <si>
    <t xml:space="preserve">Giver en ven +1 til AC og Save, samt ½ skade. Den anden ½-del gives til dig. </t>
  </si>
  <si>
    <t>1 creat.</t>
  </si>
  <si>
    <t>Giver total stilhed omkring punktet. Kan kasets på bevægende obj./creat.</t>
  </si>
  <si>
    <t>Larm giver d8 sonic dmg + save mod stunned for 1 runde.</t>
  </si>
  <si>
    <t>ph 281</t>
  </si>
  <si>
    <t>10 f. spread</t>
  </si>
  <si>
    <t>ph 283</t>
  </si>
  <si>
    <t>Nej</t>
  </si>
  <si>
    <t>Kender din vens relative position og generelle tilstand. Forsvinder hvis de dør eller er på andet plan.</t>
  </si>
  <si>
    <t>ph 284</t>
  </si>
  <si>
    <t>ph 286</t>
  </si>
  <si>
    <t>1-flere som. creat.</t>
  </si>
  <si>
    <t>Beskytter alignment mod alle typer divinations.</t>
  </si>
  <si>
    <t>ph 297</t>
  </si>
  <si>
    <t>1 creat. Or obj.</t>
  </si>
  <si>
    <t>Alle kan kun tale sandt. De ved at remsen findes og kan tale uden om.</t>
  </si>
  <si>
    <t>ph 303</t>
  </si>
  <si>
    <t>02.10.08</t>
  </si>
  <si>
    <t>Parfume (Dip. +1) (5)</t>
  </si>
  <si>
    <t>Saldo pr. 1. okt</t>
  </si>
  <si>
    <t>Healing waand (2d8+3)(50)</t>
  </si>
  <si>
    <t>OBS bless +2 til næste check</t>
  </si>
  <si>
    <t>+2 pga kikkert</t>
  </si>
  <si>
    <t>+1 pga timeglas</t>
  </si>
  <si>
    <t>Skill: Knowl. Geografi, bonus fra søkort, kikkert, timeglas</t>
  </si>
  <si>
    <t>Fond på 12.000</t>
  </si>
  <si>
    <t>Cure poison, natural (5)</t>
  </si>
  <si>
    <t>Cure ligth wound (d8+1) (5)</t>
  </si>
  <si>
    <t>Heal (5)</t>
  </si>
  <si>
    <t>Diverse førstehjælp</t>
  </si>
  <si>
    <t>Reserve navigators kit</t>
  </si>
  <si>
    <r>
      <t>Sejle i stærk vind</t>
    </r>
    <r>
      <rPr>
        <sz val="9"/>
        <rFont val="Arial"/>
        <family val="2"/>
      </rPr>
      <t xml:space="preserve"> (skema  s. 88) Pr. time + skibets sødygtighed. Miss: du driver med vinden</t>
    </r>
  </si>
  <si>
    <r>
      <t>Sejle i stærk strøm</t>
    </r>
    <r>
      <rPr>
        <sz val="9"/>
        <rFont val="Arial"/>
        <family val="2"/>
      </rPr>
      <t xml:space="preserve"> (skema  s. 88) pr. runde. Miss: du driver med strømmen</t>
    </r>
  </si>
  <si>
    <t>Skill: Proff. Sailor + evt. skibets sødygtighed</t>
  </si>
  <si>
    <t>Generel mod. (skema  s. 87): Bemanding  - regulerer de øvrige check</t>
  </si>
  <si>
    <t>Bestemme vejret</t>
  </si>
  <si>
    <t>Fare vild, undgå naturlige farer</t>
  </si>
  <si>
    <t>Skaffe mad på åbent hav</t>
  </si>
  <si>
    <t>Skill: Surv. + syn fra Knowl.Nature</t>
  </si>
  <si>
    <t>Skill: do + syn fra Knowl. Geo.</t>
  </si>
  <si>
    <t>+1 person pr 2 point over</t>
  </si>
  <si>
    <t>Ttil 1 person</t>
  </si>
  <si>
    <t xml:space="preserve">Guld </t>
  </si>
  <si>
    <t>Gift fra LotusDragen (5)</t>
  </si>
  <si>
    <t>Æres medalje</t>
  </si>
  <si>
    <t xml:space="preserve">Undead u. int. optræder som om man ikke er der. Undead m. int. har save, og kan angribe hvis der er grund til at tro usynlige er tilstede. Ophæves hvis undeads angribes, røres, turnes el.lign. </t>
  </si>
  <si>
    <t>3 småsten</t>
  </si>
  <si>
    <t>30 min. indtil brugt</t>
  </si>
  <si>
    <t>Sten får: range 20 f. (eller slynge), +1 til attack, 1d6+1 dmg (2d6+2 mod undead)</t>
  </si>
  <si>
    <t>Våben</t>
  </si>
  <si>
    <t>+1 til attack og dmg. Ikke på natural, men gerne monks</t>
  </si>
  <si>
    <t>20 f. sphere</t>
  </si>
  <si>
    <t>Tåge giver 20% miss 5 fod væk og 50% ellers. Flytter ikke med dig.</t>
  </si>
  <si>
    <t>txt</t>
  </si>
  <si>
    <t>ph 266</t>
  </si>
  <si>
    <t>(nej)</t>
  </si>
  <si>
    <t>Protection from C/E/G/L</t>
  </si>
  <si>
    <t>Detect C/E/G/L</t>
  </si>
  <si>
    <t>+2 til attack og saves. Mental control blokeres i remsens varighed. Beksytter mod fysisk kontakt med sommuned creat (ender ved angreb eller "skub").</t>
  </si>
  <si>
    <t>ph 271</t>
  </si>
  <si>
    <t>+4 morale bonus mod frygt, og undertrygger igangværende fear i 10 min.</t>
  </si>
  <si>
    <t>ph 274</t>
  </si>
  <si>
    <t>Kan ikke angribes. Kan ikke selv angribe, men gerne andre actions.</t>
  </si>
  <si>
    <t>1 som. creat.</t>
  </si>
  <si>
    <t>Tilkalder monster (se tabel), der agerer på din tur. Kan Dirigeres til andre ting.</t>
  </si>
  <si>
    <t>Level:</t>
  </si>
  <si>
    <t>Base</t>
  </si>
  <si>
    <t>Ability</t>
  </si>
  <si>
    <t>Score</t>
  </si>
  <si>
    <t>Bonus</t>
  </si>
  <si>
    <t>tmp</t>
  </si>
  <si>
    <t>Mod</t>
  </si>
  <si>
    <t>STR</t>
  </si>
  <si>
    <t>DEX</t>
  </si>
  <si>
    <t>CON</t>
  </si>
  <si>
    <t>INT</t>
  </si>
  <si>
    <t>WIS</t>
  </si>
  <si>
    <t>CHA</t>
  </si>
  <si>
    <t>Reflex</t>
  </si>
  <si>
    <t>Fortitude</t>
  </si>
  <si>
    <t>Will</t>
  </si>
  <si>
    <t>Save</t>
  </si>
  <si>
    <t>Misc</t>
  </si>
  <si>
    <t>Total</t>
  </si>
  <si>
    <t>Initiative</t>
  </si>
  <si>
    <t>AC</t>
  </si>
  <si>
    <t>Armor</t>
  </si>
  <si>
    <t>Melee</t>
  </si>
  <si>
    <t>Ranged</t>
  </si>
  <si>
    <t>Balance</t>
  </si>
  <si>
    <t>Bluff</t>
  </si>
  <si>
    <t>Gather info</t>
  </si>
  <si>
    <t>Concentration</t>
  </si>
  <si>
    <t>Diplomacy</t>
  </si>
  <si>
    <t>Disguise</t>
  </si>
  <si>
    <t>Escape</t>
  </si>
  <si>
    <t>Heal</t>
  </si>
  <si>
    <t>Hide</t>
  </si>
  <si>
    <t>Intimidate</t>
  </si>
  <si>
    <t>Jump</t>
  </si>
  <si>
    <t>Listen</t>
  </si>
  <si>
    <t>Move silently</t>
  </si>
  <si>
    <t>Perform</t>
  </si>
  <si>
    <t>Ride</t>
  </si>
  <si>
    <t>Search</t>
  </si>
  <si>
    <t>Sense motive</t>
  </si>
  <si>
    <t>Spot</t>
  </si>
  <si>
    <t>Swim</t>
  </si>
  <si>
    <t>Use rope</t>
  </si>
  <si>
    <t>Move</t>
  </si>
  <si>
    <t>Run</t>
  </si>
  <si>
    <t>Weight</t>
  </si>
  <si>
    <t>Light</t>
  </si>
  <si>
    <t>Heavy</t>
  </si>
  <si>
    <t>HP</t>
  </si>
  <si>
    <t>SYS</t>
  </si>
  <si>
    <t>Attack</t>
  </si>
  <si>
    <t>Crit:</t>
  </si>
  <si>
    <t>Size</t>
  </si>
  <si>
    <t>feats:</t>
  </si>
  <si>
    <t>Weight:</t>
  </si>
  <si>
    <t>Abil</t>
  </si>
  <si>
    <t>Int</t>
  </si>
  <si>
    <t>Cha</t>
  </si>
  <si>
    <t>Con</t>
  </si>
  <si>
    <t>Dex</t>
  </si>
  <si>
    <t>Wis</t>
  </si>
  <si>
    <t>Remark</t>
  </si>
  <si>
    <t>Str</t>
  </si>
  <si>
    <t>Total carried</t>
  </si>
  <si>
    <t>Dex max</t>
  </si>
  <si>
    <t>Spell fail</t>
  </si>
  <si>
    <t>Check</t>
  </si>
  <si>
    <t>Wp &amp; armor:</t>
  </si>
  <si>
    <t>Feat</t>
  </si>
  <si>
    <t>Effect</t>
  </si>
  <si>
    <t>med</t>
  </si>
  <si>
    <t>x4</t>
  </si>
  <si>
    <t>x3</t>
  </si>
  <si>
    <t>Damage</t>
  </si>
  <si>
    <t>Equipment</t>
  </si>
  <si>
    <t>XP:</t>
  </si>
  <si>
    <t>Næste lvl:</t>
  </si>
  <si>
    <t>Sprog:</t>
  </si>
  <si>
    <t>Size:</t>
  </si>
  <si>
    <t>Medium</t>
  </si>
  <si>
    <t>type*</t>
  </si>
  <si>
    <t>* Type: L = Light, M = Medium, H = Heavy, S = Shield, N = Non-armor</t>
  </si>
  <si>
    <t>Forgery</t>
  </si>
  <si>
    <t>Climb</t>
  </si>
  <si>
    <t>Ranks</t>
  </si>
  <si>
    <t>Ability mod</t>
  </si>
  <si>
    <t>Padded</t>
  </si>
  <si>
    <t>Leather</t>
  </si>
  <si>
    <t>Stud. Leather</t>
  </si>
  <si>
    <t>Chain Shirt</t>
  </si>
  <si>
    <t>Breastplate</t>
  </si>
  <si>
    <t>Splint mail</t>
  </si>
  <si>
    <t>Chain mail</t>
  </si>
  <si>
    <t>Scale mail</t>
  </si>
  <si>
    <t>Bandet mail</t>
  </si>
  <si>
    <t>Half-plate</t>
  </si>
  <si>
    <t>Full plate</t>
  </si>
  <si>
    <t>Small shield</t>
  </si>
  <si>
    <t>Armor bonus</t>
  </si>
  <si>
    <t>Max dex. Bonus</t>
  </si>
  <si>
    <t>Check penalty</t>
  </si>
  <si>
    <t>Spell failure</t>
  </si>
  <si>
    <t>Speed mod</t>
  </si>
  <si>
    <t>Lift over head</t>
  </si>
  <si>
    <t>Lift over Ground</t>
  </si>
  <si>
    <t>Push or drag</t>
  </si>
  <si>
    <t>Max dex</t>
  </si>
  <si>
    <t>Check pen</t>
  </si>
  <si>
    <t>Speed</t>
  </si>
  <si>
    <t xml:space="preserve"> base 30</t>
  </si>
  <si>
    <t xml:space="preserve"> Base 20</t>
  </si>
  <si>
    <t>dex</t>
  </si>
  <si>
    <t>Hvis</t>
  </si>
  <si>
    <t>dexmod</t>
  </si>
  <si>
    <t>mediummaxdek</t>
  </si>
  <si>
    <t>heavymaxdex</t>
  </si>
  <si>
    <t>heavymaxdek</t>
  </si>
  <si>
    <t>AC-modify</t>
  </si>
  <si>
    <t>Skill check pen</t>
  </si>
  <si>
    <t>weight pen.</t>
  </si>
  <si>
    <t>(armor1maxdex+armor2maxdex)</t>
  </si>
  <si>
    <t>Skill-weigth-penalty</t>
  </si>
  <si>
    <t>range</t>
  </si>
  <si>
    <t>armortype1=N</t>
  </si>
  <si>
    <t>totalweight&lt;lightweight</t>
  </si>
  <si>
    <t>totalweight&lt;mediumweight</t>
  </si>
  <si>
    <t>mediummaxdex&lt;dexmod</t>
  </si>
  <si>
    <t>heavymaxdex&lt;dexmod</t>
  </si>
  <si>
    <t>(armor1maxdex+armor2maxdex)&lt;dexmod</t>
  </si>
  <si>
    <t>mediummaxdex&lt;(armor1maxdex+armor2maxdex)</t>
  </si>
  <si>
    <t>heavymaxdex&lt;(armor1maxdex+armor2maxdex)</t>
  </si>
  <si>
    <t>ph.</t>
  </si>
  <si>
    <t>Syn</t>
  </si>
  <si>
    <t>armor1checkpen+armor2checkpen</t>
  </si>
  <si>
    <t>heavycheckpen;</t>
  </si>
  <si>
    <t>(totalweight&lt;lightweight;</t>
  </si>
  <si>
    <t>0;</t>
  </si>
  <si>
    <t>(totalweight&lt;mediumweight;</t>
  </si>
  <si>
    <t>mediumcheckpen;</t>
  </si>
  <si>
    <t>heavycheckpen));</t>
  </si>
  <si>
    <t>armor2checkpen;</t>
  </si>
  <si>
    <t>(mediumcheckpen&lt;armor2checkpen;</t>
  </si>
  <si>
    <t>(heavycheckpen&lt;armor2checkpen;</t>
  </si>
  <si>
    <t>(armor1checkpen+armor2checkpen);</t>
  </si>
  <si>
    <t>(mediumcheckpen&lt;(armor1checkpen+armor2checkpen);</t>
  </si>
  <si>
    <t>(heavycheckpen&lt;(armor1checkpen+armor2checkpen);</t>
  </si>
  <si>
    <t>(armor1type=N;</t>
  </si>
  <si>
    <t>(armor2type=N;</t>
  </si>
  <si>
    <t>armor2checkpen);</t>
  </si>
  <si>
    <t>armor2checkpen))));</t>
  </si>
  <si>
    <t>armor1checkpen+armor2checkpen);</t>
  </si>
  <si>
    <t>(mediumcheckpen);</t>
  </si>
  <si>
    <t>armor1checkpen+armor2checkpen))))</t>
  </si>
  <si>
    <t>(heavycheckpen);</t>
  </si>
  <si>
    <t>Sum</t>
  </si>
  <si>
    <t>Vægt status</t>
  </si>
  <si>
    <t>Appraise</t>
  </si>
  <si>
    <t>Survival</t>
  </si>
  <si>
    <t>AC alm.</t>
  </si>
  <si>
    <t>AC uberedt</t>
  </si>
  <si>
    <t>AC touch</t>
  </si>
  <si>
    <t>Misc.</t>
  </si>
  <si>
    <t>Armour</t>
  </si>
  <si>
    <t>Andet:</t>
  </si>
  <si>
    <t>BAB</t>
  </si>
  <si>
    <t>Attack bonus</t>
  </si>
  <si>
    <t>Dmg bonus</t>
  </si>
  <si>
    <t>Type*:</t>
  </si>
  <si>
    <t>Våben/feat afh.:</t>
  </si>
  <si>
    <t xml:space="preserve">* Type: M = melee; P = projectile; T = thrown </t>
  </si>
  <si>
    <t>M</t>
  </si>
  <si>
    <t>Race</t>
  </si>
  <si>
    <t>Character level:</t>
  </si>
  <si>
    <t>Classes:</t>
  </si>
  <si>
    <t>Beregnet:</t>
  </si>
  <si>
    <t>Total ranks tildelt:</t>
  </si>
  <si>
    <t>Beregnet max.total:</t>
  </si>
  <si>
    <t>m</t>
  </si>
  <si>
    <t>Weaponprof.</t>
  </si>
  <si>
    <t>d8</t>
  </si>
  <si>
    <t>p</t>
  </si>
  <si>
    <t>d6</t>
  </si>
  <si>
    <t>L</t>
  </si>
  <si>
    <t>Skole</t>
  </si>
  <si>
    <t>Lampe, olie, flint</t>
  </si>
  <si>
    <t>-</t>
  </si>
  <si>
    <t>lvl</t>
  </si>
  <si>
    <t>Spellcraft</t>
  </si>
  <si>
    <t>int</t>
  </si>
  <si>
    <t>Knowl. (Arc.)</t>
  </si>
  <si>
    <t>Counter-spell</t>
  </si>
  <si>
    <t>Div</t>
  </si>
  <si>
    <t>Remse</t>
  </si>
  <si>
    <t>Lvl</t>
  </si>
  <si>
    <t>Effekt</t>
  </si>
  <si>
    <t>Kastetid</t>
  </si>
  <si>
    <t>Afstand</t>
  </si>
  <si>
    <t>Mål</t>
  </si>
  <si>
    <t>Varighed</t>
  </si>
  <si>
    <t>Resistance</t>
  </si>
  <si>
    <t>Detect Poison</t>
  </si>
  <si>
    <t>Detect Magic</t>
  </si>
  <si>
    <t>Read Magic</t>
  </si>
  <si>
    <t>Ench</t>
  </si>
  <si>
    <t>Evoc</t>
  </si>
  <si>
    <t>Illus</t>
  </si>
  <si>
    <t>Necro</t>
  </si>
  <si>
    <t>Arcane mark</t>
  </si>
  <si>
    <t>Univ</t>
  </si>
  <si>
    <t>Side</t>
  </si>
  <si>
    <t>Læst</t>
  </si>
  <si>
    <t>brugt</t>
  </si>
  <si>
    <t>Armor2 data-felter. Må ikke slettes - bruges i formler</t>
  </si>
  <si>
    <t>Trans</t>
  </si>
  <si>
    <t>Mending</t>
  </si>
  <si>
    <t>Message</t>
  </si>
  <si>
    <t>Open/Close</t>
  </si>
  <si>
    <t>Forcewave</t>
  </si>
  <si>
    <t>Shelgarns persistant blade</t>
  </si>
  <si>
    <t>Launch item</t>
  </si>
  <si>
    <t>Magic Missile</t>
  </si>
  <si>
    <t>Cause Fear</t>
  </si>
  <si>
    <t>Shocking Grasp</t>
  </si>
  <si>
    <t>Charm Person</t>
  </si>
  <si>
    <t>+2</t>
  </si>
  <si>
    <t>+4</t>
  </si>
  <si>
    <t>Alarm</t>
  </si>
  <si>
    <t>Abjur</t>
  </si>
  <si>
    <t>Shield</t>
  </si>
  <si>
    <t>Detect thoughts</t>
  </si>
  <si>
    <t>Invisibility</t>
  </si>
  <si>
    <t>Blindness/deafness</t>
  </si>
  <si>
    <t>Alter self</t>
  </si>
  <si>
    <t>Knock</t>
  </si>
  <si>
    <t>Arcane Lock</t>
  </si>
  <si>
    <t>Tenser's floating disk</t>
  </si>
  <si>
    <t>+1 til saves</t>
  </si>
  <si>
    <t>ph 272</t>
  </si>
  <si>
    <t>ph 219</t>
  </si>
  <si>
    <t>ph 269</t>
  </si>
  <si>
    <t>ph 216</t>
  </si>
  <si>
    <t>ph 248</t>
  </si>
  <si>
    <t>ph 223</t>
  </si>
  <si>
    <t>ph 294</t>
  </si>
  <si>
    <t>ph 253</t>
  </si>
  <si>
    <t>ph 258</t>
  </si>
  <si>
    <t>ph 264</t>
  </si>
  <si>
    <t>ph 201</t>
  </si>
  <si>
    <t>ph 197</t>
  </si>
  <si>
    <t>ph 278</t>
  </si>
  <si>
    <t>ph 243</t>
  </si>
  <si>
    <t>ph 209</t>
  </si>
  <si>
    <t>ph 251</t>
  </si>
  <si>
    <t>ph 279</t>
  </si>
  <si>
    <t>ph 208</t>
  </si>
  <si>
    <t>ph 200</t>
  </si>
  <si>
    <t>ph 220</t>
  </si>
  <si>
    <t>ph 245</t>
  </si>
  <si>
    <t>ph 206</t>
  </si>
  <si>
    <t>ph 246</t>
  </si>
  <si>
    <t>st.act.</t>
  </si>
  <si>
    <t>1 time</t>
  </si>
  <si>
    <t>Touch</t>
  </si>
  <si>
    <t>Creat.</t>
  </si>
  <si>
    <t>1 min.</t>
  </si>
  <si>
    <t>V</t>
  </si>
  <si>
    <t>S</t>
  </si>
  <si>
    <t xml:space="preserve">Special focus/cost mv. </t>
  </si>
  <si>
    <t>60 f. cone</t>
  </si>
  <si>
    <t>Obj.</t>
  </si>
  <si>
    <t>1. runde: Magisk aura tilstede. 2. runde: Antal og stærkeste. 3. runde: Styrke og placering for alle. Også spor af remser kastet.</t>
  </si>
  <si>
    <t xml:space="preserve">om noget er giftigt eller forgiftet. Hvilken gift: DC 20 wis-check. </t>
  </si>
  <si>
    <t>Inst.</t>
  </si>
  <si>
    <t>Læs magisk skrift. 1 side pr. min. detect "glyphs" og "symbols"</t>
  </si>
  <si>
    <t>Pers.</t>
  </si>
  <si>
    <t>dig</t>
  </si>
  <si>
    <t>nej</t>
  </si>
  <si>
    <t>1 rnd.</t>
  </si>
  <si>
    <t>Laver lys 20 f. (+ 20 f. svagt).</t>
  </si>
  <si>
    <t>Reparere små skader. Metal: 1 revne, keramik/træ: flere skår, hul i tøj/læder. Genskaber ikke magiske egenskaber</t>
  </si>
  <si>
    <t>10 f.</t>
  </si>
  <si>
    <t>Obj. &lt; 1 lb</t>
  </si>
  <si>
    <t>Viske besked + svar til antal udvalgte personer. Kan sno sig, men blokeres af "silent", 1 fod sten, 3 fod træ/jord. Sprogafhængig.</t>
  </si>
  <si>
    <t>Åbner/lukker "dør" el. genstand, blot det ikke er "forhindret" (lås, bom mv.).</t>
  </si>
  <si>
    <t>Obj. &lt; 30 lb, el. "dør"</t>
  </si>
  <si>
    <t>Prestidigitation</t>
  </si>
  <si>
    <t>1 Obj.</t>
  </si>
  <si>
    <r>
      <t>Begrænset "taskespilleri". Løfte 1 lb., farve/rense/tilsmudse 1 fod</t>
    </r>
    <r>
      <rPr>
        <vertAlign val="superscript"/>
        <sz val="9"/>
        <rFont val="Arial"/>
        <family val="2"/>
      </rPr>
      <t>3</t>
    </r>
    <r>
      <rPr>
        <sz val="9"/>
        <rFont val="Arial"/>
        <family val="2"/>
      </rPr>
      <t xml:space="preserve">, varme/køle/tilsmage obj. På 1 lb. Ikke skade eller koncentrationsbrud. Midletidig farve, lyd, vindpust, glans mv.  </t>
    </r>
  </si>
  <si>
    <r>
      <t>Max 1 fod</t>
    </r>
    <r>
      <rPr>
        <vertAlign val="superscript"/>
        <sz val="9"/>
        <rFont val="Arial"/>
        <family val="2"/>
      </rPr>
      <t>2</t>
    </r>
    <r>
      <rPr>
        <sz val="9"/>
        <rFont val="Arial"/>
        <family val="2"/>
      </rPr>
      <t xml:space="preserve"> stort mærke, max 6 tegn, synligt/usynligt</t>
    </r>
  </si>
  <si>
    <t>0 f.</t>
  </si>
  <si>
    <t>Perm. (levende 1 md)</t>
  </si>
  <si>
    <t>Alarm går af når nogen går inden for range. Hørbar: tydeligt &lt; 60 f. (- 10 f. for hver dør, - 20 fod for murer). Mental: "ping" i dit hoved op til 1 mil, forstyrrer ej konc.</t>
  </si>
  <si>
    <t>20 f. emanation (ph. 175)</t>
  </si>
  <si>
    <t>focus: klokke og sølvtråd</t>
  </si>
  <si>
    <t>focus: messingnøgle</t>
  </si>
  <si>
    <t>F</t>
  </si>
  <si>
    <t>Usynligt svævende skjold, +4 til AC, beskytter mod magic misile og incorporal touch-att.</t>
  </si>
  <si>
    <t>Afslører en genstands magiske egenskaber + kodeord + antal charges</t>
  </si>
  <si>
    <t>Perle til 100 gp</t>
  </si>
  <si>
    <t>Targets &lt;15 f. fra hinanden</t>
  </si>
  <si>
    <t>Får target til at se dig som ven og allieret. Opp. Char-check for at gøre noget usædvanligt.</t>
  </si>
  <si>
    <t>Creat. or obj.</t>
  </si>
  <si>
    <t>1 creat. &lt; 6 HD</t>
  </si>
  <si>
    <t>1 Humanoid</t>
  </si>
  <si>
    <t>1d4 rnd./ 1 rnd.</t>
  </si>
  <si>
    <t>Target frightened 1d4 rnd. (flygter, hvis muligt, ellers shaken). Klares will da blot shaken 1 rnd. (-2 til att., saves, skills ability-checks (dmg 301))</t>
  </si>
  <si>
    <t>Låser dør, kiste mv. Du kan selv åbne. +10 til DC for at bryde op. "Knock" åbner kun i 10 min.</t>
  </si>
  <si>
    <t>Perm.</t>
  </si>
  <si>
    <t>guldstøv til 25 gp</t>
  </si>
  <si>
    <t xml:space="preserve">1. runde: om der er tanker. 2. runde: antal og int.score for hver. Hvis int.score &gt; 26 og 10 &gt; din egen, da stunned 1 rnd. 3.runde: check tanker. Hvis ikke synlige for dig, kan du ikke sige hvor de præcist er. </t>
  </si>
  <si>
    <t>60 f. cone emanation</t>
  </si>
  <si>
    <t>Person og det der bæres (inden for 10 fod) bliver usynligt, dog ikke lys. Må ikke angribe direkte.</t>
  </si>
  <si>
    <t>Touch el. pers.</t>
  </si>
  <si>
    <t>Gør target blind eller døv!</t>
  </si>
  <si>
    <t>1 levende creat.</t>
  </si>
  <si>
    <t>Perm. (D)</t>
  </si>
  <si>
    <t>Laver dig om/forklæder. Egne egenskaber beholdes, med mindre fysiske ændringer udelukker dem. Ny types egenskaber erhverves - se txt.</t>
  </si>
  <si>
    <t>Dig</t>
  </si>
  <si>
    <t>Åbner alt der er låst osv. 2 "låse" pr. obj. pr remse</t>
  </si>
  <si>
    <t>mf 95</t>
  </si>
  <si>
    <t>Focus: Tråd og vanddråbe</t>
  </si>
  <si>
    <t>Synlig "bølge" giver 1d4+1 dmg og Bullrush: Fjende skal klare opp. Strenght check (+6, med.size). Hvis succes flyttes fjendes 5 fod + 5 fod pr 5 højere resultat og han indbyder til frit hug som normalt. Hvis fiakso, da kun skade. Hvis Save klares da 1 dmg.</t>
  </si>
  <si>
    <t>mf 105</t>
  </si>
  <si>
    <t>inst.</t>
  </si>
  <si>
    <t>En genstand &lt; 10 lb som du besidder</t>
  </si>
  <si>
    <t>Kaster en genstand mod fjende eller mod punkt. Normal ranged attack gælder i øvrigt.</t>
  </si>
  <si>
    <t>mf 117</t>
  </si>
  <si>
    <t>Focus: En forsølvet daggert</t>
  </si>
  <si>
    <t>Backpack</t>
  </si>
  <si>
    <t>se txt</t>
  </si>
  <si>
    <t>Spell Resistance</t>
  </si>
  <si>
    <r>
      <t xml:space="preserve">Component
</t>
    </r>
    <r>
      <rPr>
        <sz val="9"/>
        <rFont val="Arial Narrow"/>
        <family val="2"/>
      </rPr>
      <t>V   -   S   -  M</t>
    </r>
  </si>
  <si>
    <r>
      <t>1 targit el. 25 fod</t>
    </r>
    <r>
      <rPr>
        <vertAlign val="superscript"/>
        <sz val="9"/>
        <rFont val="Arial Narrow"/>
        <family val="2"/>
      </rPr>
      <t>3</t>
    </r>
  </si>
  <si>
    <r>
      <t xml:space="preserve">Consentration check 
</t>
    </r>
    <r>
      <rPr>
        <sz val="9"/>
        <rFont val="Arial Narrow"/>
        <family val="2"/>
      </rPr>
      <t>Normalt   -   Defensivt</t>
    </r>
  </si>
  <si>
    <t>Identify</t>
  </si>
  <si>
    <t>Fireball</t>
  </si>
  <si>
    <t>Dispel magic</t>
  </si>
  <si>
    <t>Clairvoyance/-audience</t>
  </si>
  <si>
    <t>Gaseous form</t>
  </si>
  <si>
    <t>Obj, creat., spell, el. 30 f areal</t>
  </si>
  <si>
    <t>10 min.</t>
  </si>
  <si>
    <t>Horn (lytte)
Glasøje (se)</t>
  </si>
  <si>
    <t>Magisk sensor der enten ser eller lytter.</t>
  </si>
  <si>
    <t>ph 231</t>
  </si>
  <si>
    <t>20 f areal, spread</t>
  </si>
  <si>
    <t>ph 234</t>
  </si>
  <si>
    <t>Touch (el. pers.)</t>
  </si>
  <si>
    <t>Kan ikke kaste remser der kræver V, S el. M.  Materiel armor fungerer ikke, men dex mv. gør. Man får dmg red. 10/magic, immun over for gift og crit.hits. Flyver 10 f hastighed, kan påvirkes af vind.</t>
  </si>
  <si>
    <t>Max.-able</t>
  </si>
  <si>
    <t>skade</t>
  </si>
  <si>
    <t>skade og bull</t>
  </si>
  <si>
    <t>varighed</t>
  </si>
  <si>
    <t>AC mod spells. Spell-caster-check d20+Caster lvl for at trænge igennem</t>
  </si>
  <si>
    <t>1) ready action til "når han starter med at kaste"</t>
  </si>
  <si>
    <t xml:space="preserve">2) Identificér remse med Spelldraft-check, DC 15 + spell-lvl </t>
  </si>
  <si>
    <t>3) Kast remse svarende til/modsatte/dispell magic, hvis man har trænet den!</t>
  </si>
  <si>
    <t>4) Begge remser væk uden effekt.</t>
  </si>
  <si>
    <t>(ph. 170)</t>
  </si>
  <si>
    <t>Rul:</t>
  </si>
  <si>
    <t>+ spell-lvl</t>
  </si>
  <si>
    <t>Casting on defesive:</t>
  </si>
  <si>
    <t xml:space="preserve">Concentration: </t>
  </si>
  <si>
    <t xml:space="preserve"> Nødvendig hvis du skal kaste eller holde en remse i gang. DC varierer:  (ph 69, 170)</t>
  </si>
  <si>
    <t>Undgå frit hug i nærkamp.  DC 15 + spell.lvl.</t>
  </si>
  <si>
    <t>Rull</t>
  </si>
  <si>
    <t>Saves</t>
  </si>
  <si>
    <t>Chr.points</t>
  </si>
  <si>
    <t>Suggestion</t>
  </si>
  <si>
    <t>ph 285</t>
  </si>
  <si>
    <t>"Foreslå" en handling, som da udføres. Skal være "fornuftig".</t>
  </si>
  <si>
    <t>Explosive Runes</t>
  </si>
  <si>
    <t>ph 228</t>
  </si>
  <si>
    <t>Obj. &lt; 10 lb</t>
  </si>
  <si>
    <t>Perm. (D) Indtil brugt</t>
  </si>
  <si>
    <t>Den der læse teksten og dem omkring tager 6d6 dmg, ingen save. Alle andre inden for 10 fod må lave Ref save for halv skade</t>
  </si>
  <si>
    <t>??? skade ???</t>
  </si>
  <si>
    <t>Elver</t>
  </si>
  <si>
    <t>Cleric</t>
  </si>
  <si>
    <t>Domian</t>
  </si>
  <si>
    <t>Simple weapons, shields + longsword, rapier, long- and shortbow (comp. Incl.)</t>
  </si>
  <si>
    <t>ph. 16,31</t>
  </si>
  <si>
    <t>18-20/x2</t>
  </si>
  <si>
    <t>Longbow</t>
  </si>
  <si>
    <t>Kniv</t>
  </si>
  <si>
    <t>Grapple</t>
  </si>
  <si>
    <t>Waterskin</t>
  </si>
  <si>
    <t>Fiskekrog og line</t>
  </si>
  <si>
    <t>Oilskin, kappe, blød filthat</t>
  </si>
  <si>
    <t>Sybol of Istishia</t>
  </si>
  <si>
    <t xml:space="preserve">Max ranks pr. Cleric-skill: </t>
  </si>
  <si>
    <t xml:space="preserve">Ranks pr. lvl, Cleric: </t>
  </si>
  <si>
    <t>Knowl. (Religion)</t>
  </si>
  <si>
    <t>Knowl. (Geogr.)</t>
  </si>
  <si>
    <t>Knowl. (Nature)</t>
  </si>
  <si>
    <t>Prof. (Sailor)</t>
  </si>
  <si>
    <t>*) Immun to Sleep, +2 mod enchantments</t>
  </si>
  <si>
    <t>*)</t>
  </si>
  <si>
    <t>Elverbonus</t>
  </si>
  <si>
    <t>Low-light Vision</t>
  </si>
  <si>
    <t>Trance</t>
  </si>
  <si>
    <t>Sence secret doors</t>
  </si>
  <si>
    <t>OBS: Sence secret doors</t>
  </si>
  <si>
    <t>Trance i 4 timer, gør det ud for 8 timers søvn</t>
  </si>
  <si>
    <t>Passeres en secret door, har jeg ret til et Search check</t>
  </si>
  <si>
    <t>ph 16</t>
  </si>
  <si>
    <t>ph 15</t>
  </si>
  <si>
    <t>Ser dobbelt så langt som andre ved lavt lys, stadig i farver</t>
  </si>
  <si>
    <t>Træk vejr under vand</t>
  </si>
  <si>
    <t>sw  110</t>
  </si>
  <si>
    <t>"Waterbreathing-spell" i</t>
  </si>
  <si>
    <t>runder pr. dag. Kan splittes op.</t>
  </si>
  <si>
    <t>Resist. to Elctrcity</t>
  </si>
  <si>
    <t>sw 110</t>
  </si>
  <si>
    <t>Absorberer første 5 dmg. af electricity-skade</t>
  </si>
  <si>
    <t>Turn Undead</t>
  </si>
  <si>
    <t>ph 159</t>
  </si>
  <si>
    <t>Kan turne undead - se boks</t>
  </si>
  <si>
    <t>Deity</t>
  </si>
  <si>
    <t>Domain:</t>
  </si>
  <si>
    <t xml:space="preserve">Max spell-lvl: </t>
  </si>
  <si>
    <t>Stone Shape</t>
  </si>
  <si>
    <t>Spell-level</t>
  </si>
  <si>
    <t>0-lvl</t>
  </si>
  <si>
    <t>1-lvl</t>
  </si>
  <si>
    <t>2-lvl</t>
  </si>
  <si>
    <t>Spells pr. dag:</t>
  </si>
  <si>
    <t>(her af én domain-spell)</t>
  </si>
  <si>
    <t>Dagens Spells</t>
  </si>
  <si>
    <t>Standart action, betragtes som attack = fjenden får ikke frit hug</t>
  </si>
  <si>
    <t>Turns pr. dag*</t>
  </si>
  <si>
    <t>Nærmeste mulige undead turnes først, max 60 fod, clear line of effekt (= ingen fysisk blokering)</t>
  </si>
  <si>
    <t>Turn-</t>
  </si>
  <si>
    <t>Max lvl (HD) undead</t>
  </si>
  <si>
    <t>Destroy</t>
  </si>
  <si>
    <t>som turnes **</t>
  </si>
  <si>
    <t>el. Turn (D hvis cl.lvl. = 2 x undead HD)</t>
  </si>
  <si>
    <t>&lt; 0</t>
  </si>
  <si>
    <t>&lt;</t>
  </si>
  <si>
    <t>1-3</t>
  </si>
  <si>
    <t>4-6</t>
  </si>
  <si>
    <t>7-9</t>
  </si>
  <si>
    <t>10-12</t>
  </si>
  <si>
    <t>13-15</t>
  </si>
  <si>
    <t>16-18</t>
  </si>
  <si>
    <t>19-21</t>
  </si>
  <si>
    <t>Improved turn-feat</t>
  </si>
  <si>
    <t>&gt; 22</t>
  </si>
  <si>
    <t>&gt;</t>
  </si>
  <si>
    <t>Skade (= max. antal HD der påvirkes)</t>
  </si>
  <si>
    <t xml:space="preserve">2d6 </t>
  </si>
  <si>
    <r>
      <t>Første hjælp</t>
    </r>
    <r>
      <rPr>
        <sz val="9"/>
        <rFont val="Arial"/>
        <family val="2"/>
      </rPr>
      <t>, stoppe døende (DC 15), rul min.</t>
    </r>
  </si>
  <si>
    <t>; standart action</t>
  </si>
  <si>
    <r>
      <t>Langtidshjælp</t>
    </r>
    <r>
      <rPr>
        <sz val="9"/>
        <rFont val="Arial"/>
        <family val="2"/>
      </rPr>
      <t xml:space="preserve">, 2 x healingrate </t>
    </r>
    <r>
      <rPr>
        <sz val="9"/>
        <rFont val="Arial Narrow"/>
        <family val="2"/>
      </rPr>
      <t>(= 2 HP pr lvl pr 8 timer, 4 pr. hele dag)</t>
    </r>
    <r>
      <rPr>
        <sz val="9"/>
        <rFont val="Arial"/>
        <family val="2"/>
      </rPr>
      <t xml:space="preserve">; (DC 15) rul min. </t>
    </r>
  </si>
  <si>
    <r>
      <t>Torne, søpindsvin mv</t>
    </r>
    <r>
      <rPr>
        <sz val="9"/>
        <rFont val="Arial"/>
        <family val="2"/>
      </rPr>
      <t xml:space="preserve">. Fjerne straf på ½ move (DC 15), rul min. </t>
    </r>
  </si>
  <si>
    <r>
      <t>Magiske torne,</t>
    </r>
    <r>
      <rPr>
        <sz val="9"/>
        <rFont val="Arial"/>
        <family val="2"/>
      </rPr>
      <t xml:space="preserve"> fjerne straf på hastighed, Heal-check mod Spell DC; 10 minutters pleje</t>
    </r>
  </si>
  <si>
    <r>
      <t>Gift og sygdom:</t>
    </r>
    <r>
      <rPr>
        <sz val="9"/>
        <rFont val="Arial"/>
        <family val="2"/>
      </rPr>
      <t xml:space="preserve"> Når patienten rulle save-check, ruller du heal-check - det højeste bruges.</t>
    </r>
  </si>
  <si>
    <t xml:space="preserve">1/4 alm. hastighed, pr. move action (½ hastighed pr. runde); </t>
  </si>
  <si>
    <t>Trænede kan "ta' 10" i roligt vand</t>
  </si>
  <si>
    <t>Roligt (DC 10), rul</t>
  </si>
  <si>
    <t>; Hårdt (DC 15), rul</t>
  </si>
  <si>
    <t>; Storm (DC 20), rul</t>
  </si>
  <si>
    <t>Check pr. runde: mis med &lt;5 ingen fremdrift, ellers går du ned</t>
  </si>
  <si>
    <t xml:space="preserve">Du kan holde vejret i </t>
  </si>
  <si>
    <t>runder, hvis du svømmer - stadart actions koster det dobbelt</t>
  </si>
  <si>
    <t>+ 1 pr. yderligere runde</t>
  </si>
  <si>
    <t xml:space="preserve">       ved mis drukner du</t>
  </si>
  <si>
    <t xml:space="preserve">For hver time i vandet rulles Swim-check (DC 20), rul min. </t>
  </si>
  <si>
    <t>eller tage SYS-skade ?</t>
  </si>
  <si>
    <t xml:space="preserve">  -   derefter con-check, DC 10 + 1 pr. ydereligere runde,                rul:</t>
  </si>
  <si>
    <t>Domain Power, Ocean:</t>
  </si>
  <si>
    <t xml:space="preserve">Træk vejret under vand i </t>
  </si>
  <si>
    <t>runder pr. dag, (kan deles)</t>
  </si>
  <si>
    <t xml:space="preserve">Ekstra vejr kan rækkes ved (DC 15 Swim), Rul: </t>
  </si>
  <si>
    <t>Til antal runder</t>
  </si>
  <si>
    <t>Dykke ned i vand ved (DC 15), rul</t>
  </si>
  <si>
    <t>*) kan forbedres med ekstra trun feat</t>
  </si>
  <si>
    <t>da lægges</t>
  </si>
  <si>
    <t>Ocean; Storm</t>
  </si>
  <si>
    <t>(Kan forbedres +4 ved Combat Casting feat)</t>
  </si>
  <si>
    <r>
      <t xml:space="preserve">Forstyrres af </t>
    </r>
    <r>
      <rPr>
        <b/>
        <sz val="9"/>
        <rFont val="Arial"/>
        <family val="2"/>
      </rPr>
      <t>skade:</t>
    </r>
    <r>
      <rPr>
        <sz val="9"/>
        <rFont val="Arial"/>
        <family val="2"/>
      </rPr>
      <t xml:space="preserve"> DC = 10 + spell.lvl + dmg.</t>
    </r>
  </si>
  <si>
    <r>
      <t xml:space="preserve">Forstyrres af </t>
    </r>
    <r>
      <rPr>
        <b/>
        <sz val="9"/>
        <rFont val="Arial"/>
        <family val="2"/>
      </rPr>
      <t>remse (u. skade)</t>
    </r>
    <r>
      <rPr>
        <sz val="9"/>
        <rFont val="Arial"/>
        <family val="2"/>
      </rPr>
      <t>: DC = Spell-save (fjendens) + spell-lvl (din)</t>
    </r>
  </si>
  <si>
    <r>
      <t xml:space="preserve">Forstyrret af </t>
    </r>
    <r>
      <rPr>
        <b/>
        <sz val="9"/>
        <rFont val="Arial"/>
        <family val="2"/>
      </rPr>
      <t>grapple/pinned:</t>
    </r>
    <r>
      <rPr>
        <sz val="9"/>
        <rFont val="Arial"/>
        <family val="2"/>
      </rPr>
      <t xml:space="preserve"> DC = 20 + spell-lvl.</t>
    </r>
  </si>
  <si>
    <t>DC = 10+spell.lvl. + wis.bonus.    Forskellig save-type og save.</t>
  </si>
  <si>
    <t>ph 176</t>
  </si>
  <si>
    <t>Spell resistance:</t>
  </si>
  <si>
    <t>CG</t>
  </si>
  <si>
    <t>Hvis Cleric nærmer sig inden for 10 fod brydes turningen. Kan dog godt befinde sig tættere på.</t>
  </si>
  <si>
    <t>Cleric kan frit skyde på større afstand end 10 fod.</t>
  </si>
  <si>
    <t>Hvis umuligt, fryser (cowers), med -2 til AC og mister dex. Stadig ingen modstand.</t>
  </si>
  <si>
    <t>Endure Elements</t>
  </si>
  <si>
    <t>Entropic Shield</t>
  </si>
  <si>
    <t>Brugt</t>
  </si>
  <si>
    <r>
      <t>Turn effekt:</t>
    </r>
    <r>
      <rPr>
        <sz val="10"/>
        <rFont val="Arial"/>
        <family val="2"/>
      </rPr>
      <t xml:space="preserve"> Undead vender sig  og flygter så hurtigt og godt som muligt i 10 runder. </t>
    </r>
  </si>
  <si>
    <t>Andre kan have har frit hug som sædvanligt. (Bonus til attack i øvrigt ???  Mister de AC og  dex.bonus også?)</t>
  </si>
  <si>
    <t>Endure Elements, ph 226</t>
  </si>
  <si>
    <t>Entropic Shield, ph. 277</t>
  </si>
  <si>
    <t>Cleric spells and domian spells</t>
  </si>
  <si>
    <t>Spell-lvl</t>
  </si>
  <si>
    <t>Name</t>
  </si>
  <si>
    <t>School</t>
  </si>
  <si>
    <t>Discriptor</t>
  </si>
  <si>
    <t>Bane</t>
  </si>
  <si>
    <t>Enchantment</t>
  </si>
  <si>
    <t>Fear, mindaffecting</t>
  </si>
  <si>
    <t>Bless</t>
  </si>
  <si>
    <t>Mind-affecting</t>
  </si>
  <si>
    <t>Bless Water</t>
  </si>
  <si>
    <t>Transmutation</t>
  </si>
  <si>
    <t>Good</t>
  </si>
  <si>
    <t>Necromancy</t>
  </si>
  <si>
    <t>Command</t>
  </si>
  <si>
    <t>Language-dependent</t>
  </si>
  <si>
    <t>Comprehend Languages</t>
  </si>
  <si>
    <t>Divination</t>
  </si>
  <si>
    <t>Create Water</t>
  </si>
  <si>
    <t>Conjuration</t>
  </si>
  <si>
    <t>Water</t>
  </si>
  <si>
    <t>Cure Light Wounds</t>
  </si>
  <si>
    <t>Cure Minor Wounds</t>
  </si>
  <si>
    <t>Curse Water</t>
  </si>
  <si>
    <t>Evil</t>
  </si>
  <si>
    <t>Deathwatch</t>
  </si>
  <si>
    <t>Detect Chaos/Evil/Good/Law</t>
  </si>
  <si>
    <t>Detect Undead</t>
  </si>
  <si>
    <t>Divine Favor</t>
  </si>
  <si>
    <t>Evocation</t>
  </si>
  <si>
    <t>Doom</t>
  </si>
  <si>
    <t>Abjuration</t>
  </si>
  <si>
    <t>Guidance</t>
  </si>
  <si>
    <t>Hide from Undead</t>
  </si>
  <si>
    <t>Inflict Light Wounds</t>
  </si>
  <si>
    <t>Inflict Minor Wounds</t>
  </si>
  <si>
    <t>Magic Stone</t>
  </si>
  <si>
    <t>Magic Weapon</t>
  </si>
  <si>
    <t>Obscuring Mist</t>
  </si>
  <si>
    <t>Protection from Chaos/Evil/Good/Law</t>
  </si>
  <si>
    <t>Good/Evil/Lawful/Chaotic</t>
  </si>
  <si>
    <t>Purify Food and Drink</t>
  </si>
  <si>
    <t>Remove Fear</t>
  </si>
  <si>
    <t>Sanctuary</t>
  </si>
  <si>
    <t>Shield of Faith</t>
  </si>
  <si>
    <t>Summon Monster I</t>
  </si>
  <si>
    <t>Se txt</t>
  </si>
  <si>
    <t>Virtue</t>
  </si>
  <si>
    <t>Aid</t>
  </si>
  <si>
    <t>Align Weapon</t>
  </si>
  <si>
    <t>Augury</t>
  </si>
  <si>
    <t>Bear's Endurance</t>
  </si>
  <si>
    <t>Bull's Strength</t>
  </si>
  <si>
    <t>Calm Emotions</t>
  </si>
  <si>
    <t>Consecrate</t>
  </si>
  <si>
    <t>Cure moderate Wounds</t>
  </si>
  <si>
    <t>Darkness</t>
  </si>
  <si>
    <t>Death Knell</t>
  </si>
  <si>
    <t>Evil, Death</t>
  </si>
  <si>
    <t>Delay Poison</t>
  </si>
  <si>
    <t>Desecrate</t>
  </si>
  <si>
    <t>Eagle's Splendor</t>
  </si>
  <si>
    <t>Enthrall</t>
  </si>
  <si>
    <t>Sonic, Mind-afecting</t>
  </si>
  <si>
    <t>Find Trap</t>
  </si>
  <si>
    <t>Gentle Repose</t>
  </si>
  <si>
    <t>Hold Person</t>
  </si>
  <si>
    <t>Inflict moderate Wounds</t>
  </si>
  <si>
    <t>Make Whole</t>
  </si>
  <si>
    <t>Owl's Wisdom</t>
  </si>
  <si>
    <t>Remove Paralysis</t>
  </si>
  <si>
    <t>Resist Energy</t>
  </si>
  <si>
    <t>Restoration, Lesser</t>
  </si>
  <si>
    <t>Shatter</t>
  </si>
  <si>
    <t>Sonic</t>
  </si>
  <si>
    <t>Shield Other</t>
  </si>
  <si>
    <t>Silence</t>
  </si>
  <si>
    <t>Illusion</t>
  </si>
  <si>
    <t>Sound Burst</t>
  </si>
  <si>
    <t>Spiritual Weapon</t>
  </si>
  <si>
    <t>Force</t>
  </si>
  <si>
    <t>Status</t>
  </si>
  <si>
    <t>Summon Monster II</t>
  </si>
  <si>
    <t>Undetectable Alignment</t>
  </si>
  <si>
    <t>Zone of Truth</t>
  </si>
  <si>
    <t>Air Breathing*</t>
  </si>
  <si>
    <t>Air</t>
  </si>
  <si>
    <t>Animate Dead</t>
  </si>
  <si>
    <t>Bestow Curse</t>
  </si>
  <si>
    <t>Blindness/Deafness</t>
  </si>
  <si>
    <t>Contagion</t>
  </si>
  <si>
    <t>Continual Flame</t>
  </si>
  <si>
    <t>Create Food and Water</t>
  </si>
  <si>
    <t>Cure serious Wounds</t>
  </si>
  <si>
    <t>Daylight</t>
  </si>
  <si>
    <t>Deeper Darkness</t>
  </si>
  <si>
    <t>Dispel Magic</t>
  </si>
  <si>
    <t>Glyph of Warding</t>
  </si>
  <si>
    <t>Helping Hand</t>
  </si>
  <si>
    <t>Inflict serious Wounds</t>
  </si>
  <si>
    <t>Invisibility Purge</t>
  </si>
  <si>
    <t>Locate Object</t>
  </si>
  <si>
    <t>Magic Circle against Chaos/Evil/Good/Law</t>
  </si>
  <si>
    <t>Magic Vestment</t>
  </si>
  <si>
    <t>Meld into Stone</t>
  </si>
  <si>
    <t>Earth</t>
  </si>
  <si>
    <t>Obscure Object</t>
  </si>
  <si>
    <t>Prayer</t>
  </si>
  <si>
    <t>Protection from Energy</t>
  </si>
  <si>
    <t>Remove Blindness/Deafness</t>
  </si>
  <si>
    <t>Remove Curse</t>
  </si>
  <si>
    <t>Remove Disease</t>
  </si>
  <si>
    <t>Searing Light</t>
  </si>
  <si>
    <t>Speak with Dead</t>
  </si>
  <si>
    <t>Summon Monster III</t>
  </si>
  <si>
    <t>Water breathing</t>
  </si>
  <si>
    <t>Water Walk</t>
  </si>
  <si>
    <t>Wind Wall</t>
  </si>
  <si>
    <t>Air Walk</t>
  </si>
  <si>
    <t>Control Water</t>
  </si>
  <si>
    <t>Cure Critical Wounds</t>
  </si>
  <si>
    <t>Death Ward</t>
  </si>
  <si>
    <t>Dinensional Anchor</t>
  </si>
  <si>
    <t>Discern Lies</t>
  </si>
  <si>
    <t>Dismissal</t>
  </si>
  <si>
    <t>Divine Power</t>
  </si>
  <si>
    <t>Freedom of Movement</t>
  </si>
  <si>
    <t>Giant Vermin</t>
  </si>
  <si>
    <t>Imbue with Spell Ability</t>
  </si>
  <si>
    <t>Inflict Critical Wounds</t>
  </si>
  <si>
    <t>Magic Weapon, Greater</t>
  </si>
  <si>
    <t>Neutralize Poison</t>
  </si>
  <si>
    <t>Planar Ally, Lesser</t>
  </si>
  <si>
    <t>Poison</t>
  </si>
  <si>
    <t>Repel Vermin</t>
  </si>
  <si>
    <t>Restoration</t>
  </si>
  <si>
    <t>Sending</t>
  </si>
  <si>
    <t>Spell Immunity</t>
  </si>
  <si>
    <t>Summon Monster IV</t>
  </si>
  <si>
    <t>Tongues</t>
  </si>
  <si>
    <t>Atonement</t>
  </si>
  <si>
    <t>Break Enchantment</t>
  </si>
  <si>
    <t>Command, Greater</t>
  </si>
  <si>
    <t>Commune</t>
  </si>
  <si>
    <t>Cure Light Wounds, Mass</t>
  </si>
  <si>
    <t>Inflict Light Wounds, Mass</t>
  </si>
  <si>
    <t>Insect Plague</t>
  </si>
  <si>
    <t>Mark of Justice</t>
  </si>
  <si>
    <t>Plane Shift</t>
  </si>
  <si>
    <t>Raise Dead</t>
  </si>
  <si>
    <t>Righteous Might</t>
  </si>
  <si>
    <t>Scrying</t>
  </si>
  <si>
    <t>Slay Living</t>
  </si>
  <si>
    <t>Death</t>
  </si>
  <si>
    <t>Summon Monster V</t>
  </si>
  <si>
    <t>Symbol of Pain</t>
  </si>
  <si>
    <t>Symbol of Sleep</t>
  </si>
  <si>
    <t>True Seeing</t>
  </si>
  <si>
    <t>Unhallow</t>
  </si>
  <si>
    <t>Wall of Stone</t>
  </si>
  <si>
    <t>Animate Object</t>
  </si>
  <si>
    <t>Antilife Shell</t>
  </si>
  <si>
    <t>Banishment</t>
  </si>
  <si>
    <t>Bear's Endurance, Mass</t>
  </si>
  <si>
    <t>Blade Barrier</t>
  </si>
  <si>
    <t>Bull's Strength, Mass</t>
  </si>
  <si>
    <t>Create Undead</t>
  </si>
  <si>
    <t>Cure Moderate Wounds, Mass</t>
  </si>
  <si>
    <t>Dispel Magic, Greater</t>
  </si>
  <si>
    <t>Eagle's Splendor, Mass</t>
  </si>
  <si>
    <t>Find Path</t>
  </si>
  <si>
    <t>Forbiddance</t>
  </si>
  <si>
    <t>Gease/Quest</t>
  </si>
  <si>
    <t>Glyph of Warding, Greater</t>
  </si>
  <si>
    <t>Harm</t>
  </si>
  <si>
    <t>Heroe's Feast</t>
  </si>
  <si>
    <t>Creation</t>
  </si>
  <si>
    <t>Inflict Moderate Wounds, Mass</t>
  </si>
  <si>
    <t>Owl's Wisdom, Mass</t>
  </si>
  <si>
    <t>Planar Ally</t>
  </si>
  <si>
    <t>Summon Monster VI</t>
  </si>
  <si>
    <t>Symbol of Fear</t>
  </si>
  <si>
    <t>Symbol of Persuasion</t>
  </si>
  <si>
    <t>Undeath to Death</t>
  </si>
  <si>
    <t>Wind Walk</t>
  </si>
  <si>
    <t>Word of Recall</t>
  </si>
  <si>
    <t>Blasphemy</t>
  </si>
  <si>
    <t>Sonic, Evil</t>
  </si>
  <si>
    <t>Control Weather</t>
  </si>
  <si>
    <t>Cure Serious Wounds, Mass</t>
  </si>
  <si>
    <t>Destruction</t>
  </si>
  <si>
    <t>Dictum</t>
  </si>
  <si>
    <t>Sonic, Lawfull</t>
  </si>
  <si>
    <t>Etheral Jaunt</t>
  </si>
  <si>
    <t>Holy Word</t>
  </si>
  <si>
    <t>Sonic, Good</t>
  </si>
  <si>
    <t>Inflict Serious Wounds, Mass</t>
  </si>
  <si>
    <t>Refuge</t>
  </si>
  <si>
    <t>Regenerate</t>
  </si>
  <si>
    <t>Repulsion</t>
  </si>
  <si>
    <t>Restoration, Greater</t>
  </si>
  <si>
    <t>Resurrection</t>
  </si>
  <si>
    <t>Scrying, Greater</t>
  </si>
  <si>
    <t>Summon Monster VII</t>
  </si>
  <si>
    <t>Symbol of Stunning</t>
  </si>
  <si>
    <t>Synbol of Weakness</t>
  </si>
  <si>
    <t>Word of Chaos</t>
  </si>
  <si>
    <t>Sonic, Chaotic</t>
  </si>
  <si>
    <t>Antimagic Field</t>
  </si>
  <si>
    <t>Cloak of Chaos</t>
  </si>
  <si>
    <t>Chaotic</t>
  </si>
  <si>
    <t>Create Greater Undead</t>
  </si>
  <si>
    <t>Cure Critical Wounds, Mass</t>
  </si>
  <si>
    <t>Dimensional Lock</t>
  </si>
  <si>
    <t>Discern Location</t>
  </si>
  <si>
    <t>Earthquake</t>
  </si>
  <si>
    <t>Fire Storm</t>
  </si>
  <si>
    <t>Fire</t>
  </si>
  <si>
    <t>Holy Aura</t>
  </si>
  <si>
    <t>Inflict Critical Wounds, Mass</t>
  </si>
  <si>
    <t>Planar Ally, Greater</t>
  </si>
  <si>
    <t>Summon Monster VIII</t>
  </si>
  <si>
    <t>Symbol of Death</t>
  </si>
  <si>
    <t>Symbol of Insanity</t>
  </si>
  <si>
    <t>Unholy Aura</t>
  </si>
  <si>
    <t>Heal, Mass</t>
  </si>
  <si>
    <t>Summon Monster IX</t>
  </si>
  <si>
    <t>Bog</t>
  </si>
  <si>
    <t>Class</t>
  </si>
  <si>
    <t>Ocean</t>
  </si>
  <si>
    <t>ph</t>
  </si>
  <si>
    <t>Storm</t>
  </si>
  <si>
    <t>Gust of Wind</t>
  </si>
  <si>
    <t>Drd 2, Sor/Wiz 2</t>
  </si>
  <si>
    <t>Water Breathing</t>
  </si>
  <si>
    <t>Call Lightning</t>
  </si>
  <si>
    <t>Electricity</t>
  </si>
  <si>
    <t>Drd 3</t>
  </si>
  <si>
    <t>Sleet Storm</t>
  </si>
  <si>
    <t>Cold</t>
  </si>
  <si>
    <t>Drd 3, Sor/Wiz 3</t>
  </si>
  <si>
    <t>Wall of Ice</t>
  </si>
  <si>
    <t>Sor/Wiz 4</t>
  </si>
  <si>
    <t>Ice Storm</t>
  </si>
  <si>
    <t>Drd 4, Sor/Wiz 4</t>
  </si>
  <si>
    <t>Otiluke's Freezing Sphere</t>
  </si>
  <si>
    <t>Sor/Wiz 6</t>
  </si>
  <si>
    <t>Call Lightning Strom</t>
  </si>
  <si>
    <t>Drd 5</t>
  </si>
  <si>
    <t>Waterspout</t>
  </si>
  <si>
    <t>sw</t>
  </si>
  <si>
    <t>Drd 7, Sor/Wiz 7</t>
  </si>
  <si>
    <t>Maelstrom</t>
  </si>
  <si>
    <t>Domains only</t>
  </si>
  <si>
    <t>Whirlwind</t>
  </si>
  <si>
    <t>Drd 8</t>
  </si>
  <si>
    <t>Element Swarm</t>
  </si>
  <si>
    <t>Drd 9</t>
  </si>
  <si>
    <t>Storm of Vengeance</t>
  </si>
  <si>
    <t>Fog Cloud</t>
  </si>
  <si>
    <t>Cone of Cold</t>
  </si>
  <si>
    <t>Sor/Wiz 5</t>
  </si>
  <si>
    <t>Acid Fog</t>
  </si>
  <si>
    <t>Acid</t>
  </si>
  <si>
    <t>Horrid Wilting</t>
  </si>
  <si>
    <t>Sor/Wiz 8</t>
  </si>
  <si>
    <t>Elemental Swarm</t>
  </si>
  <si>
    <t>Seafolk</t>
  </si>
  <si>
    <t>Quickswim</t>
  </si>
  <si>
    <t>Brd 1, Drd 1, Rgr 1, Sor/Wiz 1</t>
  </si>
  <si>
    <t>Fins to Feet</t>
  </si>
  <si>
    <t>Scales of the Sealord</t>
  </si>
  <si>
    <t>Drd 3, Rgr 3</t>
  </si>
  <si>
    <t>Siren's Call</t>
  </si>
  <si>
    <t>Mindaffecting</t>
  </si>
  <si>
    <t>Brd 3, Sor/Wiz 3</t>
  </si>
  <si>
    <t>Commune with Nature</t>
  </si>
  <si>
    <t>Drd 5, Rgr 4</t>
  </si>
  <si>
    <t>Airy Water</t>
  </si>
  <si>
    <t>Water, Air</t>
  </si>
  <si>
    <t>Megalodon Empowerment</t>
  </si>
  <si>
    <t>Dephtsurge</t>
  </si>
  <si>
    <t>Drd 8, Sor/Wiz 8</t>
  </si>
  <si>
    <t>Foresight</t>
  </si>
  <si>
    <t>Drd 9, Sor/Wiz 9</t>
  </si>
  <si>
    <t>(healer, remser, turner, bueskytte, vejrmand)</t>
  </si>
  <si>
    <t>Dæknavn: Heal Turner</t>
  </si>
  <si>
    <t>Chaotic Good (elver)</t>
  </si>
  <si>
    <t xml:space="preserve">Fra en kystby, Faldt overbord som dreng, men blev reddet af en havgud… </t>
  </si>
  <si>
    <t>Tror på at havets guder har en mening med ham, er siden altid tæt ved/på havet, og haft udlængsel indtil nu…</t>
  </si>
  <si>
    <t>Feats</t>
  </si>
  <si>
    <t>Race:</t>
  </si>
  <si>
    <t>Det betyder også at han ikke vil ofre sit liv for andre, for så kan han ikke opfylde den mening hans Gud har med ham</t>
  </si>
  <si>
    <t>1 (1.lvl) + 1 (3.lvl) + 1 (6.lvl) = 3</t>
  </si>
  <si>
    <t>Tilbeder ved midt dag, hvor solen står højst, helst med udsigt over havet (kan man indarbejbde en bonus her?)</t>
  </si>
  <si>
    <t>Fighter/elver</t>
  </si>
  <si>
    <t>1+1 (1.lvl) + 1 (2.lvl) + 1 (3.lvl) + 1 (4.lvl) + 1+1 (6.lvl) = 7</t>
  </si>
  <si>
    <t>Ønsker (prio):</t>
  </si>
  <si>
    <t>Højt</t>
  </si>
  <si>
    <t>Ekstra Turning</t>
  </si>
  <si>
    <t>+4 turnings pr dag</t>
  </si>
  <si>
    <t>Alm.</t>
  </si>
  <si>
    <t>Skal ses i forhold til valg af Høj Ability, jf. nednefor</t>
  </si>
  <si>
    <t>Point blank</t>
  </si>
  <si>
    <t>Fgt.bonus</t>
  </si>
  <si>
    <t>Precise Shot (Point Blank)</t>
  </si>
  <si>
    <t>Skyde ind i flok uden straf</t>
  </si>
  <si>
    <t>Aquatic (Point blank)</t>
  </si>
  <si>
    <t>Forbedret skydning i vand</t>
  </si>
  <si>
    <t>Improved Turning</t>
  </si>
  <si>
    <t>Turner som +1 lvl</t>
  </si>
  <si>
    <t>Lavt</t>
  </si>
  <si>
    <t>Weapon finess</t>
  </si>
  <si>
    <t>?</t>
  </si>
  <si>
    <t>Sanctify Water (Good)</t>
  </si>
  <si>
    <t>Laver vand omkring mig Holy</t>
  </si>
  <si>
    <t>Storm Magic</t>
  </si>
  <si>
    <t>+1 lvl under storm</t>
  </si>
  <si>
    <t>Skills</t>
  </si>
  <si>
    <t>Start</t>
  </si>
  <si>
    <t>pr.lvl</t>
  </si>
  <si>
    <t>4+(2+2)x4=20</t>
  </si>
  <si>
    <t>2+2=4</t>
  </si>
  <si>
    <t>Clr</t>
  </si>
  <si>
    <t>Fgt</t>
  </si>
  <si>
    <t>Høj</t>
  </si>
  <si>
    <t>Knowl. (Geografy)</t>
  </si>
  <si>
    <t>Max</t>
  </si>
  <si>
    <t>Clr, Fgt</t>
  </si>
  <si>
    <t>Navigation, Syn til Survival (ikke blive væk og naturlige hazards)</t>
  </si>
  <si>
    <t>Klare sig i det åbne (obs: svært på havet), + til F-save mod vejr, forudsige vejret</t>
  </si>
  <si>
    <t>Remsekast o.a. i dårligt vejr. Ikke ved turning (provoker ikke)</t>
  </si>
  <si>
    <t>5. Ranks</t>
  </si>
  <si>
    <t>+2 turning checks</t>
  </si>
  <si>
    <t>Synergi til Survival, som bruges til vejrudsigter, Stormcaster</t>
  </si>
  <si>
    <t>Knowl. (Arcana)</t>
  </si>
  <si>
    <t>Syn til SpellCraft, Stormcaster</t>
  </si>
  <si>
    <t>Blot trænet</t>
  </si>
  <si>
    <t>Rope Use</t>
  </si>
  <si>
    <t>Fede at have</t>
  </si>
  <si>
    <t>SpellCraft</t>
  </si>
  <si>
    <t>Read magic, detect magic, Genkende remser DC 15, men ellers mest Wizards</t>
  </si>
  <si>
    <t>cc</t>
  </si>
  <si>
    <t>Tumble</t>
  </si>
  <si>
    <t>Mulig progression:</t>
  </si>
  <si>
    <t>clr</t>
  </si>
  <si>
    <t>fgt</t>
  </si>
  <si>
    <t>Vil give</t>
  </si>
  <si>
    <t>3+2</t>
  </si>
  <si>
    <t>5d8+3d10</t>
  </si>
  <si>
    <t>Skilpoints</t>
  </si>
  <si>
    <t>20+7x4</t>
  </si>
  <si>
    <t>Spells</t>
  </si>
  <si>
    <t>5, 5, 4, 2*</t>
  </si>
  <si>
    <t>*Evt. 3 hvis WIS 16</t>
  </si>
  <si>
    <t>Elveregenskaber</t>
  </si>
  <si>
    <t>Elver egenskaber</t>
  </si>
  <si>
    <t>+2 dex, -2 con</t>
  </si>
  <si>
    <t>Immun mod sleep, +2 save mod ench.</t>
  </si>
  <si>
    <t>Low-light vision - kan se x2 så langt ved lavt lys</t>
  </si>
  <si>
    <t xml:space="preserve">+2 til listen, search og spot. </t>
  </si>
  <si>
    <t>Autocheck for secrets når de passeres inden for 5 fod</t>
  </si>
  <si>
    <t>4 timers trance pr. døgn</t>
  </si>
  <si>
    <t>Doimain</t>
  </si>
  <si>
    <t>Spec. Powers</t>
  </si>
  <si>
    <t>Træk vejr u. vand, 10 r/lvl/dg</t>
  </si>
  <si>
    <t>Resist electricity 5</t>
  </si>
  <si>
    <t>Giver adgang til remser nødvendig for Stormcaster</t>
  </si>
  <si>
    <t>Istishia</t>
  </si>
  <si>
    <t>N</t>
  </si>
  <si>
    <t>Må jeg så gerne være Good - Ja</t>
  </si>
  <si>
    <t>+1</t>
  </si>
  <si>
    <t>Swim-skill</t>
  </si>
  <si>
    <t>+3</t>
  </si>
  <si>
    <t>Beh. AC, Dex-save</t>
  </si>
  <si>
    <t>HP, og hold vejr, F-save</t>
  </si>
  <si>
    <t>Skil-points</t>
  </si>
  <si>
    <t>+2 (+3 v. 4.lvl)</t>
  </si>
  <si>
    <t>Remser, W-Save</t>
  </si>
  <si>
    <t>Turning + undersøgelsesskills</t>
  </si>
  <si>
    <t>Hvad er vigtigst at stige til 16 (+3) i som det første?</t>
  </si>
  <si>
    <t>Den ene vil stige i 4. lvl, den næste først i 12. lvl (+1 i 8. og +1 i 12)</t>
  </si>
  <si>
    <t>Og da først igen i 20.lvl (+1 i 16 og +1 i 20)</t>
  </si>
  <si>
    <t>3.lvl bonus-spell kan fås v. 5. lvl, hvis WIS stiger v. 4. Ellers først ved 12-lvl, og da er det ligemeget</t>
  </si>
  <si>
    <t>Er WIS 14 (og stiger ikke) kan jeg kaste 4.lvl remser. På 8. lvl kan jeg kaste 5.lvl remser (som bliver tilgængelige på 9.lvl), og på 12., 6 lvl remser (som bliver tilgængelige på 11.lvl)</t>
  </si>
  <si>
    <t xml:space="preserve">Er WIS 15 (og stiger) kan jeg kaste 5.lvl remser. På 4. lvl kan jeg kaste 6.lvl remser (som bliver tilgængelige på 11.lvl), </t>
  </si>
  <si>
    <t>og på 16.(forudsat de næste to stigninger går til CHA), 7. lvl remser (som bliver tilgængelige på 13.lvl)</t>
  </si>
  <si>
    <t>Valg: Det bliver WIS - pga. at WIS.mod. Ligger på andre's rul.</t>
  </si>
  <si>
    <t>4 untrained skills, herunder spot og listen</t>
  </si>
  <si>
    <t>Og med Ekstraturning feat + Chr.point, er der mulighed for at lave rigtigt mange turn-rul.</t>
  </si>
  <si>
    <t>Hvad skills angår vil jeg hellere kunne de 4 WIS-baserede ned de 6 CHA-baserede. Undersøttes af Racen</t>
  </si>
  <si>
    <t>6 untrained skills, men er mere tyve og andre undersøge-agtige</t>
  </si>
  <si>
    <r>
      <t>DC for saves mod mine spells er 10+spell-lvl+</t>
    </r>
    <r>
      <rPr>
        <b/>
        <sz val="10"/>
        <rFont val="Arial"/>
        <family val="2"/>
      </rPr>
      <t>Wis.mod</t>
    </r>
  </si>
  <si>
    <r>
      <t>Antal turns pr. dag: 3+</t>
    </r>
    <r>
      <rPr>
        <b/>
        <sz val="10"/>
        <rFont val="Arial"/>
        <family val="2"/>
      </rPr>
      <t>cha.mod</t>
    </r>
  </si>
  <si>
    <r>
      <t>Turning check: d20+</t>
    </r>
    <r>
      <rPr>
        <b/>
        <sz val="10"/>
        <rFont val="Arial"/>
        <family val="2"/>
      </rPr>
      <t>cha.mod</t>
    </r>
    <r>
      <rPr>
        <sz val="10"/>
        <rFont val="Arial"/>
        <family val="0"/>
      </rPr>
      <t xml:space="preserve"> = Den største undead du kan turne i forhold til dit lvl, +3 giver gns +1 lvl højere end mig</t>
    </r>
  </si>
  <si>
    <r>
      <t>Turning dmg: 2d6+cleric.lvl+</t>
    </r>
    <r>
      <rPr>
        <b/>
        <sz val="10"/>
        <rFont val="Arial"/>
        <family val="2"/>
      </rPr>
      <t xml:space="preserve">cha.mod </t>
    </r>
    <r>
      <rPr>
        <sz val="10"/>
        <rFont val="Arial"/>
        <family val="0"/>
      </rPr>
      <t>= så mange HD kan turnes</t>
    </r>
  </si>
  <si>
    <t>Summon Monster</t>
  </si>
  <si>
    <t>I</t>
  </si>
  <si>
    <t>Celestial Dog</t>
  </si>
  <si>
    <t>Celestial Owl</t>
  </si>
  <si>
    <t>Celestial Badger</t>
  </si>
  <si>
    <t>Celestial Monkey</t>
  </si>
  <si>
    <t>II</t>
  </si>
  <si>
    <t>Celestial Giant Bee</t>
  </si>
  <si>
    <t>Celestial Giant Bombardier beetle</t>
  </si>
  <si>
    <t>Celestial Giant Fire Beetle</t>
  </si>
  <si>
    <t>Celestial Riding Dog</t>
  </si>
  <si>
    <t>Celestial Eagle</t>
  </si>
  <si>
    <t>III</t>
  </si>
  <si>
    <t>Darkvision 60 f.</t>
  </si>
  <si>
    <t xml:space="preserve">Damage reduction 5/magic fra 4 til 11 HD; 10/magic fra 12+ HD </t>
  </si>
  <si>
    <t>Resistance mod acid, cold og electricity. 5 under 8 HD, 10 for 8+ HD</t>
  </si>
  <si>
    <t>Spell resistance HD + 5</t>
  </si>
  <si>
    <t>Intellegens min. 3</t>
  </si>
  <si>
    <r>
      <t xml:space="preserve">Celestial: </t>
    </r>
    <r>
      <rPr>
        <i/>
        <sz val="8"/>
        <rFont val="Arial"/>
        <family val="2"/>
      </rPr>
      <t>mm I.: 31</t>
    </r>
  </si>
  <si>
    <t>HD</t>
  </si>
  <si>
    <t xml:space="preserve">mm 271  </t>
  </si>
  <si>
    <t>mm 272</t>
  </si>
  <si>
    <t>mm 277</t>
  </si>
  <si>
    <t>mm 284</t>
  </si>
  <si>
    <t>mm 285</t>
  </si>
  <si>
    <t>mm 278</t>
  </si>
  <si>
    <t>mm 268</t>
  </si>
  <si>
    <t>mm 276</t>
  </si>
  <si>
    <t>1d8+2</t>
  </si>
  <si>
    <t>Attack, full</t>
  </si>
  <si>
    <t>2 claw, +4 melee (1d2-1) og bite (1d3-1)</t>
  </si>
  <si>
    <t>Special</t>
  </si>
  <si>
    <t>Rage</t>
  </si>
  <si>
    <t>bite +2 melee (1d4+1)</t>
  </si>
  <si>
    <t>2d8+2</t>
  </si>
  <si>
    <t>2d8+4</t>
  </si>
  <si>
    <t>bite +3 melee (1d6+3)</t>
  </si>
  <si>
    <t>30 , climb 30</t>
  </si>
  <si>
    <t>30, burrow 10</t>
  </si>
  <si>
    <t>bite +4 (1d3-4)</t>
  </si>
  <si>
    <t>1d8</t>
  </si>
  <si>
    <t>10, fly 40</t>
  </si>
  <si>
    <t>40</t>
  </si>
  <si>
    <t>Talons +5 melee (1d4-3)</t>
  </si>
  <si>
    <t>Swim 80</t>
  </si>
  <si>
    <t>Slam +4 melee (2d4)</t>
  </si>
  <si>
    <t>bite +1 melee (2d4)</t>
  </si>
  <si>
    <t>30</t>
  </si>
  <si>
    <t>1d8+1</t>
  </si>
  <si>
    <t>10, fly 80</t>
  </si>
  <si>
    <t>2 talons +3 melee (1d4) og bite -2 (1d4)</t>
  </si>
  <si>
    <t>3d8</t>
  </si>
  <si>
    <t>20, fly 80</t>
  </si>
  <si>
    <t>sting +2 melee (1d4 + poison)</t>
  </si>
  <si>
    <t>Poison, dør ved sting</t>
  </si>
  <si>
    <t>Acid Spray</t>
  </si>
  <si>
    <t>Celestial Porpoise* (Marsvin)</t>
  </si>
  <si>
    <t>Celestial Black Bear</t>
  </si>
  <si>
    <t>Celestial Bison</t>
  </si>
  <si>
    <t>Celestial Dire Badger</t>
  </si>
  <si>
    <t>Celestial Hippogriff</t>
  </si>
  <si>
    <t>mm 269</t>
  </si>
  <si>
    <t>mm 62</t>
  </si>
  <si>
    <t>mm 152</t>
  </si>
  <si>
    <t>mm 95</t>
  </si>
  <si>
    <t>3d8+6</t>
  </si>
  <si>
    <t>2 claw, +6 melee (1d4+4) og bite +1 (1d6+2)</t>
  </si>
  <si>
    <t>5d8+15</t>
  </si>
  <si>
    <t>gore +8 melee (1d8+9)</t>
  </si>
  <si>
    <t>Stamede</t>
  </si>
  <si>
    <t>3d8+15</t>
  </si>
  <si>
    <t>2 claw, +4 melee (1d4+2) og bite -1 (1d6+1)</t>
  </si>
  <si>
    <t>3d10+9</t>
  </si>
  <si>
    <t>50, fly 100</t>
  </si>
  <si>
    <t>2 claw, +6 melee (1d4+4) og bite +1 (1d8+2)</t>
  </si>
  <si>
    <t>Elemental, Small, Air</t>
  </si>
  <si>
    <t>Elemental, Small, Water</t>
  </si>
  <si>
    <t>2d8</t>
  </si>
  <si>
    <t>fly 100</t>
  </si>
  <si>
    <t>slam +5 melee (1d4)</t>
  </si>
  <si>
    <t>Air mastery, whirlwind</t>
  </si>
  <si>
    <t>20, swim 90</t>
  </si>
  <si>
    <t>slam +4 melee (1d6+3)</t>
  </si>
  <si>
    <t>Water mastery, drench, vortex</t>
  </si>
  <si>
    <t>Navn</t>
  </si>
  <si>
    <t>(Ven af havet)</t>
  </si>
  <si>
    <t>Common, elven, celestial,  aquan, undercommon</t>
  </si>
  <si>
    <t>-2 til attack pr. 5 fod vand.</t>
  </si>
  <si>
    <t>Thrown dur ikke under vand. DOG husregel: Hvis skud fra luft, da som bue.</t>
  </si>
  <si>
    <t>Vand til livet eller mere giver improved cover +8  til AC, +4 R-save</t>
  </si>
  <si>
    <t>Helt under vand giver total cover DOG husregel: Første 5 fod bør give impr. cover.</t>
  </si>
  <si>
    <t>Andet end piercing har -2 til atack, og halv dmg.</t>
  </si>
  <si>
    <t>Melee i vand</t>
  </si>
  <si>
    <r>
      <t xml:space="preserve">Skydning i / ned i vand </t>
    </r>
    <r>
      <rPr>
        <i/>
        <sz val="9"/>
        <rFont val="Arial"/>
        <family val="2"/>
      </rPr>
      <t>(dmg. 92)</t>
    </r>
  </si>
  <si>
    <r>
      <t xml:space="preserve">Cover i vand </t>
    </r>
    <r>
      <rPr>
        <sz val="9"/>
        <rFont val="Arial"/>
        <family val="2"/>
      </rPr>
      <t>(mod folk fra land)</t>
    </r>
  </si>
  <si>
    <t xml:space="preserve">Mod  undead creatures og evil outsiders. </t>
  </si>
  <si>
    <t>Holy Water:</t>
  </si>
  <si>
    <t>Splash weapon , range 10 fod. 2d4 dmg til den ramte, andre inden for 5 fod, 1 dmg.</t>
  </si>
  <si>
    <t xml:space="preserve">Diety: </t>
  </si>
  <si>
    <r>
      <t xml:space="preserve">Istishia, </t>
    </r>
    <r>
      <rPr>
        <sz val="10"/>
        <rFont val="ProseAntique"/>
        <family val="0"/>
      </rPr>
      <t>tilbedes midt dag</t>
    </r>
  </si>
  <si>
    <t>Point blank shot</t>
  </si>
  <si>
    <t>ph. 98</t>
  </si>
  <si>
    <t>+1 til attack og dmg. inden for 30 fod</t>
  </si>
  <si>
    <t>En storm trak op, af en eller anden grund var skibets vind-sanger ikke med. Vi blev drevet ud, væk fra kysten.</t>
  </si>
  <si>
    <t xml:space="preserve">Stormen blev værre. Mine forældre og andre søgte tilflugt under dæk, men jeg… jeg følte en mærkelig opstemt hed ved </t>
  </si>
  <si>
    <t xml:space="preserve">elementernes rasen. Jeg søgte frem i stævnen af både. Snart stod himmel og hav i et. Vi havde mistet kysten af syne, </t>
  </si>
  <si>
    <t>men den behøvede ikke være langt væk. På et tidspunkt, kom min far op og kaldte, og flere voksne abrjede sig langtsomt</t>
  </si>
  <si>
    <t>langs ræling og rigning frem i mod mig, for at få mig tilbage. Jeg klamrede mig til et eller andet, og kunne ikke bevæge mig</t>
  </si>
  <si>
    <t>Men jeg havde heller ikke lyst til at gå neden under.</t>
  </si>
  <si>
    <t>Pluslig da mig far kun var 10 fod fra mig, kom en særlig stor bølge, og væltede sig ned over mig, og tog mig med ud over.</t>
  </si>
  <si>
    <t>Alt blev mørkt omkring mig. Jeg mistede orienteringen, og pluslig var jeg væk. Min eforældre fortalte mig senere, at det så ud</t>
  </si>
  <si>
    <t>som om jeg lo, da jeg blev taget med. Min far blev holdt tilbage af de øvrige mænd. Kort efter lagde stormen sig, og kysten</t>
  </si>
  <si>
    <t>blev synlig. De ledte længe efter mig, men til sidst måtte de indse at jeg var væk.</t>
  </si>
  <si>
    <t xml:space="preserve">Jeg selv vågnede med den mærkeligtste drøm, på kysten lige syd for en lille fisker by. På den måde kom </t>
  </si>
  <si>
    <t xml:space="preserve">jeg tilbage til min familie. </t>
  </si>
  <si>
    <t>Fra min drøm husker jeg en Gudinde, som bar mig, talte til mig, velsignede mig og lagde mig på kysten.</t>
  </si>
  <si>
    <t xml:space="preserve">Jeg ved ikke eller husker ikke hvad hun sagde, men jeger sikker på at min rolle i verden blev beseglet. Jeg skal noget som </t>
  </si>
  <si>
    <t xml:space="preserve">er særligt. </t>
  </si>
  <si>
    <t xml:space="preserve">Siden flyttede jeg til kysten, fandt et havne leje hvor man tilbad guderne fra havet. Jeg slog mig ned og lærte af sejle og </t>
  </si>
  <si>
    <t>begå mig på havet. I min lille båd sejlede jeg ud alene, for det meste, og tilbad min gudinde hver dag ved middag, hvor</t>
  </si>
  <si>
    <t>livets lys står højest på himlen. Jeg lader sjældent havet af syne. Når det stormer på havet finder har jeg en særligt</t>
  </si>
  <si>
    <t>klippe hvor jeg klatrer op og stirrer ud over havet.</t>
  </si>
  <si>
    <t>Jeg måtte rejse ud på det hav, ud til andre steder. Havet kaldte, missonen venter et sted derude. Derfor er jeg her.</t>
  </si>
  <si>
    <t>Jeg er født og opvækset inden i landet. Jeg er 100 år = jeres 20 år</t>
  </si>
  <si>
    <t>Jeg var lille dreng. Mine forældre og jeg var på vej hjem fra en fest hos fjerne slægtningen</t>
  </si>
  <si>
    <t>* Restistance to electrycity 5</t>
  </si>
  <si>
    <t>Discr.</t>
  </si>
  <si>
    <t>Purify Food/Drink</t>
  </si>
  <si>
    <t>ph 215</t>
  </si>
  <si>
    <t>W</t>
  </si>
  <si>
    <t>Conj</t>
  </si>
  <si>
    <t>ph 238</t>
  </si>
  <si>
    <t>1 min. Indtil brugt</t>
  </si>
  <si>
    <t>Giver +1 til et enkelt attack, save eller skill ckeck. Skal bruges inden der rulles og inden den udløber</t>
  </si>
  <si>
    <t>Helbreder 1 HP. Skader undedead.</t>
  </si>
  <si>
    <t>v</t>
  </si>
  <si>
    <t>ph 267</t>
  </si>
  <si>
    <t>Fálmalo</t>
  </si>
  <si>
    <t>F, Ma</t>
  </si>
  <si>
    <t>ph 203</t>
  </si>
  <si>
    <t>DF</t>
  </si>
  <si>
    <t>Alle fjender -1 til attack og saves mod fear.</t>
  </si>
  <si>
    <t>Fjender, 50 f. burst</t>
  </si>
  <si>
    <t>Venner, 50 f. burst</t>
  </si>
  <si>
    <t>ph 205</t>
  </si>
  <si>
    <t>Ma</t>
  </si>
  <si>
    <t>Alle venner +1 morale bonus til attack og saves mod fear.</t>
  </si>
  <si>
    <t>G</t>
  </si>
  <si>
    <t>½ liter vand</t>
  </si>
  <si>
    <t>Laver Holy Water: Splash weapon mod undead creat. og evil outsiders, range 10 fod, 2d4 dmg til den ramte, andre inden for 5 fod, 1 dmg.</t>
  </si>
  <si>
    <t>Ma, Ld</t>
  </si>
  <si>
    <t>ph 211</t>
  </si>
  <si>
    <t>1 Creat.</t>
  </si>
  <si>
    <t>1 rnd</t>
  </si>
  <si>
    <t xml:space="preserve">Giver kommando: Kom, Slip, Fald, Flygt, Stop.  </t>
  </si>
  <si>
    <t>ph 212</t>
  </si>
  <si>
    <t>Forstå el. læse fremmed sprog. Person eller tekst skal røres.</t>
  </si>
  <si>
    <t>ph 218</t>
  </si>
  <si>
    <t>Creat., obj. mv.</t>
  </si>
  <si>
    <t>1. runde: Undead aura tilstede. 2. runde: Antal og stærkeste. 3. runde: Styrke og placering for alle. Også spor af auraer.</t>
  </si>
  <si>
    <t>1. runde: Pågældende aura tilstede. 2. runde: Antal og stærkeste. 3. runde: Styrke og placering for alle. Også spor af auraer.</t>
  </si>
  <si>
    <t>Undead</t>
  </si>
  <si>
    <t>ph 224</t>
  </si>
  <si>
    <t>ph 225</t>
  </si>
  <si>
    <t>Fjende bliver "shaken": -2 til attack, saves, skill og ability checks.</t>
  </si>
  <si>
    <t>24 timer</t>
  </si>
  <si>
    <t>Bliver ikke berørt af varme eller kulde (også udstyr). Ikke mod cold el. fire dmg.</t>
  </si>
  <si>
    <t>ph 227</t>
  </si>
  <si>
    <t>ph 226</t>
  </si>
  <si>
    <t>Lysende aura der giver 20% miss chance til pile, stråler og andre skud, der kræver attack-rolls.</t>
  </si>
  <si>
    <t>ph 241</t>
  </si>
  <si>
    <t>Compr. Languages</t>
  </si>
  <si>
    <t>Pirat</t>
  </si>
  <si>
    <t>Øjvind</t>
  </si>
  <si>
    <t xml:space="preserve">   rul***</t>
  </si>
  <si>
    <t>***) +2 syn. fra knowl (rel.)</t>
  </si>
  <si>
    <t>--1</t>
  </si>
  <si>
    <t>elverbonus</t>
  </si>
  <si>
    <t>Fighter</t>
  </si>
  <si>
    <t xml:space="preserve">Max ranks pr. fighter-skill: </t>
  </si>
</sst>
</file>

<file path=xl/styles.xml><?xml version="1.0" encoding="utf-8"?>
<styleSheet xmlns="http://schemas.openxmlformats.org/spreadsheetml/2006/main">
  <numFmts count="2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E+00"/>
    <numFmt numFmtId="165" formatCode="0E+00"/>
    <numFmt numFmtId="166" formatCode="0.000E+00"/>
    <numFmt numFmtId="167" formatCode="0.0000E+00"/>
    <numFmt numFmtId="168" formatCode="0.00000E+00"/>
    <numFmt numFmtId="169" formatCode="0.000000E+00"/>
    <numFmt numFmtId="170" formatCode="0.0000000E+00"/>
    <numFmt numFmtId="171" formatCode="0.00000000E+00"/>
    <numFmt numFmtId="172" formatCode="0.000000000E+00"/>
    <numFmt numFmtId="173" formatCode="0.0000000000E+00"/>
    <numFmt numFmtId="174" formatCode="0.00000000000E+00"/>
    <numFmt numFmtId="175" formatCode="0.000000000000E+00"/>
    <numFmt numFmtId="176" formatCode="0.0000000000000E+00"/>
    <numFmt numFmtId="177" formatCode="0.00000000000000E+00"/>
    <numFmt numFmtId="178" formatCode="0.000000000000000E+00"/>
    <numFmt numFmtId="179" formatCode="0.0000000000000000E+00"/>
    <numFmt numFmtId="180" formatCode="0.00000000000000000E+00"/>
    <numFmt numFmtId="181" formatCode="0.000000000000000000E+00"/>
    <numFmt numFmtId="182" formatCode="0.0000000000000000000E+00"/>
    <numFmt numFmtId="183" formatCode="0.00000000000000000000E+00"/>
  </numFmts>
  <fonts count="71">
    <font>
      <b/>
      <sz val="12"/>
      <name val="ProseAntique"/>
      <family val="4"/>
    </font>
    <font>
      <sz val="10"/>
      <name val="Arial"/>
      <family val="0"/>
    </font>
    <font>
      <sz val="10"/>
      <name val="ProseAntique"/>
      <family val="4"/>
    </font>
    <font>
      <b/>
      <sz val="12"/>
      <name val="Technical"/>
      <family val="4"/>
    </font>
    <font>
      <sz val="8"/>
      <name val="Technical"/>
      <family val="4"/>
    </font>
    <font>
      <sz val="10"/>
      <name val="Technical"/>
      <family val="4"/>
    </font>
    <font>
      <sz val="12"/>
      <name val="Technical"/>
      <family val="4"/>
    </font>
    <font>
      <sz val="8"/>
      <name val="Arial"/>
      <family val="2"/>
    </font>
    <font>
      <b/>
      <sz val="12"/>
      <name val="Arial"/>
      <family val="2"/>
    </font>
    <font>
      <sz val="9"/>
      <name val="Arial"/>
      <family val="2"/>
    </font>
    <font>
      <b/>
      <sz val="8"/>
      <name val="Arial"/>
      <family val="2"/>
    </font>
    <font>
      <sz val="11"/>
      <name val="Technical"/>
      <family val="4"/>
    </font>
    <font>
      <b/>
      <sz val="12"/>
      <color indexed="8"/>
      <name val="ProseAntique"/>
      <family val="4"/>
    </font>
    <font>
      <sz val="12"/>
      <name val="ProseAntique"/>
      <family val="0"/>
    </font>
    <font>
      <sz val="8"/>
      <name val="Tahoma"/>
      <family val="0"/>
    </font>
    <font>
      <b/>
      <sz val="8"/>
      <name val="Tahoma"/>
      <family val="0"/>
    </font>
    <font>
      <i/>
      <sz val="12"/>
      <name val="ProseAntique"/>
      <family val="0"/>
    </font>
    <font>
      <i/>
      <sz val="8"/>
      <name val="Arial"/>
      <family val="2"/>
    </font>
    <font>
      <i/>
      <sz val="8"/>
      <name val="Technical"/>
      <family val="4"/>
    </font>
    <font>
      <b/>
      <sz val="10"/>
      <name val="ProseAntique"/>
      <family val="0"/>
    </font>
    <font>
      <b/>
      <sz val="10"/>
      <name val="Arial"/>
      <family val="2"/>
    </font>
    <font>
      <sz val="10"/>
      <name val="Arial Narrow"/>
      <family val="2"/>
    </font>
    <font>
      <b/>
      <sz val="8"/>
      <name val="Technical"/>
      <family val="0"/>
    </font>
    <font>
      <sz val="12"/>
      <name val="Arial"/>
      <family val="2"/>
    </font>
    <font>
      <sz val="8"/>
      <name val="Arial Narrow"/>
      <family val="2"/>
    </font>
    <font>
      <b/>
      <sz val="48"/>
      <color indexed="10"/>
      <name val="Arial"/>
      <family val="2"/>
    </font>
    <font>
      <i/>
      <sz val="12"/>
      <name val="Arial"/>
      <family val="2"/>
    </font>
    <font>
      <b/>
      <sz val="10"/>
      <name val="Arial Narrow"/>
      <family val="2"/>
    </font>
    <font>
      <sz val="10"/>
      <color indexed="8"/>
      <name val="Arial"/>
      <family val="2"/>
    </font>
    <font>
      <b/>
      <sz val="9"/>
      <name val="Arial"/>
      <family val="2"/>
    </font>
    <font>
      <i/>
      <sz val="9"/>
      <name val="Arial"/>
      <family val="2"/>
    </font>
    <font>
      <b/>
      <i/>
      <sz val="9"/>
      <name val="Arial"/>
      <family val="2"/>
    </font>
    <font>
      <b/>
      <sz val="12"/>
      <name val="Arial Narrow"/>
      <family val="2"/>
    </font>
    <font>
      <b/>
      <sz val="16"/>
      <name val="Arial"/>
      <family val="2"/>
    </font>
    <font>
      <b/>
      <i/>
      <sz val="12"/>
      <name val="Arial Narrow"/>
      <family val="2"/>
    </font>
    <font>
      <b/>
      <sz val="8"/>
      <name val="ProseAntique"/>
      <family val="4"/>
    </font>
    <font>
      <b/>
      <sz val="8"/>
      <name val="Arial Narrow"/>
      <family val="2"/>
    </font>
    <font>
      <b/>
      <sz val="9"/>
      <name val="Arial Narrow"/>
      <family val="2"/>
    </font>
    <font>
      <b/>
      <sz val="9"/>
      <name val="ProseAntique"/>
      <family val="4"/>
    </font>
    <font>
      <vertAlign val="superscript"/>
      <sz val="9"/>
      <name val="Arial"/>
      <family val="2"/>
    </font>
    <font>
      <sz val="9"/>
      <name val="Arial Narrow"/>
      <family val="2"/>
    </font>
    <font>
      <sz val="12"/>
      <name val="Arial Narrow"/>
      <family val="2"/>
    </font>
    <font>
      <vertAlign val="superscript"/>
      <sz val="9"/>
      <name val="Arial Narrow"/>
      <family val="2"/>
    </font>
    <font>
      <sz val="9"/>
      <color indexed="20"/>
      <name val="Arial Narrow"/>
      <family val="2"/>
    </font>
    <font>
      <b/>
      <sz val="9"/>
      <color indexed="20"/>
      <name val="Arial"/>
      <family val="2"/>
    </font>
    <font>
      <b/>
      <sz val="9"/>
      <color indexed="8"/>
      <name val="Arial"/>
      <family val="2"/>
    </font>
    <font>
      <sz val="9"/>
      <color indexed="8"/>
      <name val="Arial"/>
      <family val="2"/>
    </font>
    <font>
      <sz val="12"/>
      <color indexed="9"/>
      <name val="ProseAntique"/>
      <family val="0"/>
    </font>
    <font>
      <sz val="10"/>
      <color indexed="9"/>
      <name val="Arial"/>
      <family val="2"/>
    </font>
    <font>
      <i/>
      <sz val="10"/>
      <name val="ProseAntique"/>
      <family val="0"/>
    </font>
    <font>
      <b/>
      <u val="single"/>
      <sz val="9"/>
      <color indexed="12"/>
      <name val="ProseAntique"/>
      <family val="4"/>
    </font>
    <font>
      <b/>
      <u val="single"/>
      <sz val="9"/>
      <color indexed="36"/>
      <name val="ProseAntique"/>
      <family val="4"/>
    </font>
    <font>
      <b/>
      <i/>
      <sz val="8"/>
      <name val="Arial"/>
      <family val="2"/>
    </font>
    <font>
      <sz val="8"/>
      <name val="ProseAntique"/>
      <family val="0"/>
    </font>
    <font>
      <sz val="9"/>
      <color indexed="12"/>
      <name val="Arial Narrow"/>
      <family val="2"/>
    </font>
    <font>
      <b/>
      <sz val="9"/>
      <color indexed="12"/>
      <name val="Arial"/>
      <family val="2"/>
    </font>
    <font>
      <sz val="10"/>
      <color indexed="22"/>
      <name val="Arial Narrow"/>
      <family val="2"/>
    </font>
    <font>
      <b/>
      <sz val="12"/>
      <color indexed="22"/>
      <name val="Arial"/>
      <family val="2"/>
    </font>
    <font>
      <sz val="10"/>
      <color indexed="22"/>
      <name val="Arial"/>
      <family val="2"/>
    </font>
    <font>
      <i/>
      <sz val="8"/>
      <color indexed="22"/>
      <name val="Arial"/>
      <family val="2"/>
    </font>
    <font>
      <i/>
      <sz val="8"/>
      <color indexed="22"/>
      <name val="Technical"/>
      <family val="4"/>
    </font>
    <font>
      <i/>
      <sz val="8"/>
      <color indexed="48"/>
      <name val="Technical"/>
      <family val="4"/>
    </font>
    <font>
      <i/>
      <sz val="8"/>
      <color indexed="10"/>
      <name val="Technical"/>
      <family val="4"/>
    </font>
    <font>
      <i/>
      <sz val="8"/>
      <color indexed="11"/>
      <name val="Technical"/>
      <family val="4"/>
    </font>
    <font>
      <i/>
      <sz val="8"/>
      <name val="Arial Narrow"/>
      <family val="2"/>
    </font>
    <font>
      <b/>
      <sz val="9"/>
      <color indexed="22"/>
      <name val="Arial"/>
      <family val="2"/>
    </font>
    <font>
      <i/>
      <sz val="9"/>
      <color indexed="22"/>
      <name val="Arial"/>
      <family val="2"/>
    </font>
    <font>
      <sz val="9"/>
      <color indexed="22"/>
      <name val="Arial"/>
      <family val="2"/>
    </font>
    <font>
      <u val="single"/>
      <sz val="9"/>
      <name val="Arial"/>
      <family val="2"/>
    </font>
    <font>
      <b/>
      <sz val="10"/>
      <color indexed="12"/>
      <name val="Arial"/>
      <family val="2"/>
    </font>
    <font>
      <b/>
      <sz val="10"/>
      <color indexed="20"/>
      <name val="Arial"/>
      <family val="2"/>
    </font>
  </fonts>
  <fills count="13">
    <fill>
      <patternFill/>
    </fill>
    <fill>
      <patternFill patternType="gray125"/>
    </fill>
    <fill>
      <patternFill patternType="solid">
        <fgColor indexed="14"/>
        <bgColor indexed="64"/>
      </patternFill>
    </fill>
    <fill>
      <patternFill patternType="solid">
        <fgColor indexed="44"/>
        <bgColor indexed="64"/>
      </patternFill>
    </fill>
    <fill>
      <patternFill patternType="solid">
        <fgColor indexed="43"/>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50"/>
        <bgColor indexed="64"/>
      </patternFill>
    </fill>
  </fills>
  <borders count="25">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medium"/>
    </border>
    <border diagonalUp="1" diagonalDown="1">
      <left>
        <color indexed="63"/>
      </left>
      <right style="thin"/>
      <top>
        <color indexed="63"/>
      </top>
      <bottom>
        <color indexed="63"/>
      </bottom>
      <diagonal style="thin"/>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color indexed="63"/>
      </top>
      <bottom style="thin"/>
    </border>
    <border>
      <left>
        <color indexed="63"/>
      </left>
      <right style="thin"/>
      <top style="thin"/>
      <bottom style="hair"/>
    </border>
    <border>
      <left style="thin"/>
      <right style="thin"/>
      <top style="thin"/>
      <bottom style="thin"/>
    </border>
    <border diagonalUp="1" diagonalDown="1">
      <left>
        <color indexed="63"/>
      </left>
      <right>
        <color indexed="63"/>
      </right>
      <top>
        <color indexed="63"/>
      </top>
      <bottom>
        <color indexed="63"/>
      </bottom>
      <diagonal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pplyNumberFormat="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1" fillId="0" borderId="0">
      <alignment/>
      <protection/>
    </xf>
    <xf numFmtId="9" fontId="1" fillId="0" borderId="0" applyFont="0" applyFill="0" applyBorder="0" applyAlignment="0" applyProtection="0"/>
    <xf numFmtId="44" fontId="1" fillId="0" borderId="0" applyFont="0" applyFill="0" applyBorder="0" applyAlignment="0" applyProtection="0"/>
  </cellStyleXfs>
  <cellXfs count="559">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horizontal="center" vertical="center"/>
    </xf>
    <xf numFmtId="1" fontId="6" fillId="0" borderId="3" xfId="0" applyNumberFormat="1" applyFont="1" applyBorder="1" applyAlignment="1">
      <alignment horizontal="center" vertical="center"/>
    </xf>
    <xf numFmtId="0" fontId="0" fillId="0" borderId="0" xfId="0"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6" fillId="0" borderId="5"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6" fillId="0" borderId="0" xfId="0"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9" xfId="0"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0" borderId="10" xfId="0" applyBorder="1" applyAlignment="1">
      <alignment vertical="center"/>
    </xf>
    <xf numFmtId="0" fontId="0" fillId="0" borderId="2" xfId="0" applyFill="1" applyBorder="1" applyAlignment="1">
      <alignment vertical="center"/>
    </xf>
    <xf numFmtId="0" fontId="6" fillId="0" borderId="0" xfId="0" applyFont="1" applyBorder="1" applyAlignment="1">
      <alignment horizontal="left" vertical="center"/>
    </xf>
    <xf numFmtId="1" fontId="6" fillId="0" borderId="0" xfId="0" applyNumberFormat="1" applyFont="1" applyBorder="1" applyAlignment="1">
      <alignment horizontal="left" vertical="center"/>
    </xf>
    <xf numFmtId="9" fontId="6" fillId="0" borderId="0" xfId="21" applyFont="1" applyBorder="1" applyAlignment="1">
      <alignment horizontal="center" vertical="center"/>
    </xf>
    <xf numFmtId="0" fontId="7" fillId="0" borderId="9" xfId="0" applyFont="1" applyFill="1" applyBorder="1" applyAlignment="1">
      <alignment vertical="center"/>
    </xf>
    <xf numFmtId="0" fontId="5" fillId="0" borderId="9" xfId="0" applyFont="1" applyBorder="1" applyAlignment="1">
      <alignment vertical="center"/>
    </xf>
    <xf numFmtId="0" fontId="0" fillId="2" borderId="0" xfId="0" applyFill="1" applyBorder="1" applyAlignment="1">
      <alignment horizontal="center" vertical="center"/>
    </xf>
    <xf numFmtId="0" fontId="6" fillId="0" borderId="0" xfId="0" applyFont="1" applyBorder="1" applyAlignment="1">
      <alignment horizontal="righ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13" fillId="0" borderId="0" xfId="0" applyFont="1" applyAlignment="1">
      <alignment vertical="center"/>
    </xf>
    <xf numFmtId="0" fontId="0" fillId="0" borderId="0" xfId="0" applyFont="1" applyAlignment="1">
      <alignment vertical="center"/>
    </xf>
    <xf numFmtId="0" fontId="0" fillId="0" borderId="1" xfId="0" applyFill="1" applyBorder="1" applyAlignment="1">
      <alignment vertical="center"/>
    </xf>
    <xf numFmtId="0" fontId="4" fillId="0" borderId="1" xfId="0" applyFont="1" applyFill="1" applyBorder="1" applyAlignment="1">
      <alignment vertical="center"/>
    </xf>
    <xf numFmtId="0" fontId="0" fillId="0" borderId="6" xfId="0" applyFill="1" applyBorder="1" applyAlignment="1">
      <alignment vertical="center"/>
    </xf>
    <xf numFmtId="0" fontId="13" fillId="0" borderId="0" xfId="0" applyFont="1" applyFill="1" applyAlignment="1">
      <alignment vertical="center"/>
    </xf>
    <xf numFmtId="0" fontId="6" fillId="0" borderId="0" xfId="0" applyFont="1" applyFill="1" applyAlignment="1">
      <alignment horizontal="right" vertical="center"/>
    </xf>
    <xf numFmtId="0" fontId="0" fillId="0" borderId="8" xfId="0" applyFill="1" applyBorder="1" applyAlignment="1">
      <alignment vertical="center"/>
    </xf>
    <xf numFmtId="0" fontId="7" fillId="0" borderId="9" xfId="0" applyFont="1" applyFill="1" applyBorder="1" applyAlignment="1">
      <alignment horizontal="left"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17" fillId="0" borderId="9" xfId="0" applyFont="1" applyFill="1" applyBorder="1" applyAlignment="1">
      <alignment vertical="center"/>
    </xf>
    <xf numFmtId="0" fontId="17" fillId="0" borderId="0" xfId="0" applyFont="1" applyFill="1" applyBorder="1" applyAlignment="1">
      <alignment vertical="center"/>
    </xf>
    <xf numFmtId="0" fontId="11" fillId="0" borderId="7" xfId="0" applyFont="1" applyFill="1" applyBorder="1" applyAlignment="1">
      <alignment horizontal="right" vertical="center"/>
    </xf>
    <xf numFmtId="0" fontId="6" fillId="0" borderId="0" xfId="0" applyFont="1" applyFill="1" applyBorder="1" applyAlignment="1">
      <alignment horizontal="right" vertical="center"/>
    </xf>
    <xf numFmtId="0" fontId="16" fillId="0" borderId="0" xfId="0" applyFont="1" applyFill="1" applyBorder="1" applyAlignment="1">
      <alignment vertical="center"/>
    </xf>
    <xf numFmtId="0" fontId="11" fillId="0" borderId="6" xfId="0" applyFont="1" applyFill="1" applyBorder="1" applyAlignment="1">
      <alignment horizontal="right" vertical="center"/>
    </xf>
    <xf numFmtId="0" fontId="0" fillId="0" borderId="3" xfId="0" applyFill="1" applyBorder="1" applyAlignment="1">
      <alignment vertical="center"/>
    </xf>
    <xf numFmtId="0" fontId="8" fillId="2" borderId="0" xfId="0" applyFont="1" applyFill="1" applyAlignment="1">
      <alignment vertical="center"/>
    </xf>
    <xf numFmtId="0" fontId="8" fillId="0" borderId="11" xfId="0" applyFont="1" applyFill="1" applyBorder="1" applyAlignment="1">
      <alignment vertical="center"/>
    </xf>
    <xf numFmtId="0" fontId="8" fillId="0" borderId="3" xfId="0" applyFont="1" applyFill="1" applyBorder="1" applyAlignment="1">
      <alignment vertical="center"/>
    </xf>
    <xf numFmtId="0" fontId="8" fillId="0" borderId="5" xfId="0" applyFont="1" applyFill="1" applyBorder="1" applyAlignment="1">
      <alignment vertical="center"/>
    </xf>
    <xf numFmtId="0" fontId="8" fillId="0" borderId="8" xfId="0" applyFont="1" applyFill="1" applyBorder="1" applyAlignment="1">
      <alignment vertical="center"/>
    </xf>
    <xf numFmtId="0" fontId="0" fillId="0" borderId="7" xfId="0" applyFill="1" applyBorder="1" applyAlignment="1">
      <alignment vertical="center"/>
    </xf>
    <xf numFmtId="0" fontId="7" fillId="0" borderId="3"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20" fillId="0" borderId="3" xfId="0" applyFont="1" applyFill="1" applyBorder="1" applyAlignment="1">
      <alignment vertical="center"/>
    </xf>
    <xf numFmtId="0" fontId="20"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1" xfId="0" applyFont="1" applyFill="1" applyBorder="1" applyAlignment="1">
      <alignment horizontal="center" vertical="center"/>
    </xf>
    <xf numFmtId="0" fontId="8" fillId="0" borderId="0" xfId="0" applyFont="1" applyFill="1" applyBorder="1" applyAlignment="1">
      <alignment vertical="center"/>
    </xf>
    <xf numFmtId="0" fontId="1" fillId="0" borderId="1" xfId="0" applyFont="1" applyFill="1" applyBorder="1" applyAlignment="1">
      <alignment vertical="center"/>
    </xf>
    <xf numFmtId="0" fontId="20" fillId="0" borderId="8" xfId="0" applyFont="1" applyFill="1" applyBorder="1" applyAlignment="1">
      <alignment vertical="center"/>
    </xf>
    <xf numFmtId="0" fontId="1" fillId="0" borderId="9" xfId="0" applyFont="1" applyFill="1" applyBorder="1" applyAlignment="1">
      <alignment vertical="center"/>
    </xf>
    <xf numFmtId="0" fontId="20" fillId="0" borderId="10" xfId="0" applyFont="1" applyFill="1" applyBorder="1" applyAlignment="1">
      <alignment horizontal="right" vertical="center"/>
    </xf>
    <xf numFmtId="0" fontId="1" fillId="0" borderId="3" xfId="0" applyFont="1" applyFill="1" applyBorder="1" applyAlignment="1">
      <alignment vertical="center"/>
    </xf>
    <xf numFmtId="0" fontId="21" fillId="0" borderId="3" xfId="0" applyFont="1" applyFill="1" applyBorder="1" applyAlignment="1">
      <alignment vertical="center"/>
    </xf>
    <xf numFmtId="0" fontId="19" fillId="0" borderId="0" xfId="0" applyFont="1" applyFill="1" applyBorder="1" applyAlignment="1">
      <alignment vertical="center"/>
    </xf>
    <xf numFmtId="0" fontId="20" fillId="0" borderId="4" xfId="0" applyFont="1" applyFill="1" applyBorder="1" applyAlignment="1">
      <alignment horizontal="center" vertical="center"/>
    </xf>
    <xf numFmtId="0" fontId="2" fillId="0" borderId="0" xfId="0" applyFont="1" applyFill="1" applyBorder="1" applyAlignment="1">
      <alignment vertical="center"/>
    </xf>
    <xf numFmtId="0" fontId="1" fillId="0" borderId="12" xfId="0" applyFont="1" applyFill="1" applyBorder="1" applyAlignment="1">
      <alignment horizontal="center" vertical="center"/>
    </xf>
    <xf numFmtId="0" fontId="20" fillId="0" borderId="5" xfId="0" applyFont="1" applyFill="1" applyBorder="1" applyAlignment="1">
      <alignment vertical="center"/>
    </xf>
    <xf numFmtId="0" fontId="19" fillId="0" borderId="2" xfId="0" applyFont="1" applyFill="1" applyBorder="1" applyAlignment="1">
      <alignment vertical="center"/>
    </xf>
    <xf numFmtId="0" fontId="18" fillId="0" borderId="1" xfId="0" applyFont="1" applyFill="1" applyBorder="1" applyAlignment="1">
      <alignment vertical="center"/>
    </xf>
    <xf numFmtId="0" fontId="24" fillId="0" borderId="0" xfId="0" applyFont="1" applyFill="1" applyBorder="1" applyAlignment="1">
      <alignment vertical="center"/>
    </xf>
    <xf numFmtId="0" fontId="24" fillId="0" borderId="8" xfId="0" applyFont="1" applyFill="1" applyBorder="1" applyAlignment="1">
      <alignment vertical="center"/>
    </xf>
    <xf numFmtId="0" fontId="24" fillId="0" borderId="9" xfId="0" applyFont="1" applyFill="1" applyBorder="1" applyAlignment="1">
      <alignment vertical="center"/>
    </xf>
    <xf numFmtId="0" fontId="24" fillId="0" borderId="10" xfId="0" applyFont="1" applyFill="1" applyBorder="1" applyAlignment="1">
      <alignment vertical="center"/>
    </xf>
    <xf numFmtId="0" fontId="10" fillId="0" borderId="9" xfId="0" applyFont="1" applyFill="1" applyBorder="1" applyAlignment="1">
      <alignment horizontal="center" vertical="center"/>
    </xf>
    <xf numFmtId="0" fontId="7" fillId="0" borderId="8" xfId="0" applyFont="1" applyFill="1" applyBorder="1" applyAlignment="1">
      <alignment vertical="center"/>
    </xf>
    <xf numFmtId="0" fontId="10" fillId="0" borderId="9" xfId="0" applyFont="1" applyFill="1" applyBorder="1" applyAlignment="1">
      <alignment vertical="center"/>
    </xf>
    <xf numFmtId="0" fontId="22" fillId="0" borderId="9"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4" xfId="0" applyFill="1" applyBorder="1" applyAlignment="1">
      <alignment vertical="center"/>
    </xf>
    <xf numFmtId="0" fontId="0" fillId="0" borderId="5"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7" fillId="0" borderId="8" xfId="0" applyFont="1" applyFill="1" applyBorder="1" applyAlignment="1">
      <alignment horizontal="left" vertical="top"/>
    </xf>
    <xf numFmtId="0" fontId="10" fillId="0" borderId="9" xfId="0" applyFont="1" applyFill="1" applyBorder="1" applyAlignment="1">
      <alignment horizontal="center" vertical="top"/>
    </xf>
    <xf numFmtId="0" fontId="8" fillId="0" borderId="9" xfId="0" applyFont="1" applyFill="1" applyBorder="1" applyAlignment="1">
      <alignment horizontal="center" vertical="top"/>
    </xf>
    <xf numFmtId="0" fontId="8" fillId="0" borderId="9" xfId="0" applyFont="1" applyFill="1" applyBorder="1" applyAlignment="1">
      <alignment vertical="center"/>
    </xf>
    <xf numFmtId="0" fontId="21" fillId="0" borderId="0" xfId="0" applyFont="1" applyFill="1" applyBorder="1" applyAlignment="1">
      <alignment vertical="center"/>
    </xf>
    <xf numFmtId="0" fontId="6" fillId="0" borderId="3" xfId="0" applyFont="1" applyFill="1" applyBorder="1" applyAlignment="1">
      <alignment vertical="center"/>
    </xf>
    <xf numFmtId="0" fontId="24" fillId="0" borderId="2" xfId="0" applyFont="1" applyFill="1" applyBorder="1" applyAlignment="1">
      <alignment vertical="center"/>
    </xf>
    <xf numFmtId="0" fontId="24" fillId="0" borderId="0" xfId="0" applyFont="1" applyFill="1" applyAlignment="1">
      <alignment vertical="top"/>
    </xf>
    <xf numFmtId="0" fontId="4" fillId="0" borderId="9" xfId="0" applyFont="1" applyFill="1" applyBorder="1" applyAlignment="1">
      <alignment horizontal="center" vertical="center"/>
    </xf>
    <xf numFmtId="0" fontId="1" fillId="0" borderId="8" xfId="0" applyFont="1" applyFill="1" applyBorder="1" applyAlignment="1">
      <alignment vertical="center"/>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0" fillId="0" borderId="0" xfId="0" applyFill="1" applyAlignment="1">
      <alignment horizontal="left" vertical="center"/>
    </xf>
    <xf numFmtId="0" fontId="1" fillId="0" borderId="5" xfId="0" applyFont="1" applyFill="1" applyBorder="1" applyAlignment="1">
      <alignment vertical="center"/>
    </xf>
    <xf numFmtId="0" fontId="1" fillId="0" borderId="2" xfId="0" applyFont="1" applyFill="1" applyBorder="1" applyAlignment="1">
      <alignment vertical="center"/>
    </xf>
    <xf numFmtId="0" fontId="1" fillId="0" borderId="4"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17" fillId="0" borderId="10" xfId="0" applyFont="1" applyFill="1" applyBorder="1" applyAlignment="1">
      <alignment horizontal="right" vertical="center"/>
    </xf>
    <xf numFmtId="0" fontId="0" fillId="3" borderId="0" xfId="0" applyFont="1" applyFill="1" applyBorder="1" applyAlignment="1">
      <alignment vertical="center"/>
    </xf>
    <xf numFmtId="0" fontId="12" fillId="3" borderId="0" xfId="0" applyFont="1" applyFill="1" applyBorder="1" applyAlignment="1">
      <alignment vertical="center"/>
    </xf>
    <xf numFmtId="0" fontId="0" fillId="3" borderId="0" xfId="0" applyFill="1" applyBorder="1" applyAlignment="1">
      <alignment vertical="center"/>
    </xf>
    <xf numFmtId="0" fontId="24" fillId="0" borderId="9" xfId="0" applyFont="1" applyFill="1" applyBorder="1" applyAlignment="1">
      <alignment horizontal="left"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24" fillId="4" borderId="9" xfId="0" applyFont="1" applyFill="1" applyBorder="1" applyAlignment="1">
      <alignment vertical="center"/>
    </xf>
    <xf numFmtId="0" fontId="7" fillId="4" borderId="9" xfId="0" applyFont="1" applyFill="1" applyBorder="1" applyAlignment="1">
      <alignment horizontal="center" vertical="center" wrapText="1"/>
    </xf>
    <xf numFmtId="0" fontId="24" fillId="4" borderId="9" xfId="0" applyFont="1" applyFill="1" applyBorder="1" applyAlignment="1">
      <alignment horizontal="left" vertical="center"/>
    </xf>
    <xf numFmtId="0" fontId="0" fillId="4" borderId="9" xfId="0" applyFill="1" applyBorder="1" applyAlignment="1">
      <alignment vertical="center"/>
    </xf>
    <xf numFmtId="0" fontId="24" fillId="0" borderId="1" xfId="0" applyFont="1" applyFill="1" applyBorder="1" applyAlignment="1">
      <alignment vertical="center"/>
    </xf>
    <xf numFmtId="0" fontId="24" fillId="0" borderId="4" xfId="0" applyFont="1" applyFill="1" applyBorder="1" applyAlignment="1">
      <alignment vertical="center"/>
    </xf>
    <xf numFmtId="0" fontId="9" fillId="0" borderId="0" xfId="0" applyFont="1" applyFill="1" applyBorder="1" applyAlignment="1">
      <alignment vertical="center"/>
    </xf>
    <xf numFmtId="0" fontId="29" fillId="0" borderId="0" xfId="0" applyFont="1" applyFill="1" applyBorder="1" applyAlignment="1">
      <alignment vertical="center"/>
    </xf>
    <xf numFmtId="0" fontId="29" fillId="0" borderId="1" xfId="0" applyFont="1" applyFill="1" applyBorder="1" applyAlignment="1">
      <alignment vertical="center"/>
    </xf>
    <xf numFmtId="0" fontId="9" fillId="0" borderId="1" xfId="0" applyFont="1" applyFill="1" applyBorder="1" applyAlignment="1">
      <alignment vertical="center"/>
    </xf>
    <xf numFmtId="0" fontId="29" fillId="0" borderId="9" xfId="0" applyFont="1" applyFill="1" applyBorder="1" applyAlignment="1">
      <alignment vertical="center"/>
    </xf>
    <xf numFmtId="0" fontId="29" fillId="0" borderId="10" xfId="0" applyFont="1" applyFill="1" applyBorder="1" applyAlignment="1">
      <alignment vertical="center"/>
    </xf>
    <xf numFmtId="0" fontId="29" fillId="0" borderId="3" xfId="0" applyFont="1" applyFill="1" applyBorder="1" applyAlignment="1">
      <alignment vertical="center"/>
    </xf>
    <xf numFmtId="0" fontId="30" fillId="0" borderId="0" xfId="0" applyFont="1" applyFill="1" applyBorder="1" applyAlignment="1">
      <alignment horizontal="right" vertical="center"/>
    </xf>
    <xf numFmtId="0" fontId="29" fillId="0" borderId="3" xfId="0" applyFont="1" applyFill="1" applyBorder="1" applyAlignment="1">
      <alignment horizontal="left" vertical="center"/>
    </xf>
    <xf numFmtId="0" fontId="31" fillId="0" borderId="0" xfId="0" applyFont="1" applyFill="1" applyBorder="1" applyAlignment="1">
      <alignment horizontal="left" vertical="center"/>
    </xf>
    <xf numFmtId="0" fontId="2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30" fillId="0" borderId="0" xfId="0" applyFont="1" applyFill="1" applyBorder="1" applyAlignment="1">
      <alignment vertical="center"/>
    </xf>
    <xf numFmtId="0" fontId="32" fillId="0" borderId="3" xfId="0" applyFont="1" applyFill="1" applyBorder="1" applyAlignment="1">
      <alignment vertical="center"/>
    </xf>
    <xf numFmtId="0" fontId="8"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8" fillId="3" borderId="2" xfId="0" applyFont="1" applyFill="1" applyBorder="1" applyAlignment="1">
      <alignment horizontal="center" vertical="center"/>
    </xf>
    <xf numFmtId="0" fontId="23" fillId="0" borderId="6" xfId="0" applyFont="1" applyBorder="1" applyAlignment="1">
      <alignment horizontal="left" vertical="center"/>
    </xf>
    <xf numFmtId="0" fontId="33" fillId="0" borderId="6" xfId="0" applyFont="1" applyBorder="1" applyAlignment="1">
      <alignment vertical="center"/>
    </xf>
    <xf numFmtId="0" fontId="34" fillId="0" borderId="3" xfId="0" applyFont="1" applyFill="1" applyBorder="1" applyAlignment="1">
      <alignment vertical="center"/>
    </xf>
    <xf numFmtId="0" fontId="23" fillId="0" borderId="0" xfId="0" applyFont="1" applyFill="1" applyBorder="1" applyAlignment="1">
      <alignment vertical="center"/>
    </xf>
    <xf numFmtId="0" fontId="9" fillId="0" borderId="0" xfId="0" applyFont="1" applyFill="1" applyBorder="1" applyAlignment="1" quotePrefix="1">
      <alignment vertical="center"/>
    </xf>
    <xf numFmtId="0" fontId="2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ill="1" applyBorder="1" applyAlignment="1">
      <alignment horizontal="center" vertical="center"/>
    </xf>
    <xf numFmtId="0" fontId="23" fillId="0" borderId="6" xfId="0" applyFont="1" applyFill="1" applyBorder="1" applyAlignment="1">
      <alignment horizontal="right" vertical="center"/>
    </xf>
    <xf numFmtId="0" fontId="8" fillId="0" borderId="6" xfId="0" applyFont="1" applyFill="1" applyBorder="1" applyAlignment="1">
      <alignment vertical="center"/>
    </xf>
    <xf numFmtId="0" fontId="23" fillId="0" borderId="5" xfId="0" applyFont="1" applyFill="1" applyBorder="1" applyAlignment="1">
      <alignment vertical="center"/>
    </xf>
    <xf numFmtId="0" fontId="0" fillId="0" borderId="2" xfId="0" applyBorder="1" applyAlignment="1">
      <alignment vertical="center"/>
    </xf>
    <xf numFmtId="0" fontId="4" fillId="0" borderId="7" xfId="0" applyFont="1" applyFill="1" applyBorder="1" applyAlignment="1">
      <alignment horizontal="left" vertical="center"/>
    </xf>
    <xf numFmtId="0" fontId="29" fillId="0" borderId="0" xfId="0" applyFont="1" applyFill="1" applyBorder="1" applyAlignment="1">
      <alignment horizontal="center" vertical="center"/>
    </xf>
    <xf numFmtId="0" fontId="23" fillId="0" borderId="3" xfId="0" applyFont="1" applyFill="1" applyBorder="1" applyAlignment="1">
      <alignment vertical="center"/>
    </xf>
    <xf numFmtId="0" fontId="0" fillId="0" borderId="0" xfId="0" applyBorder="1" applyAlignment="1">
      <alignment/>
    </xf>
    <xf numFmtId="0" fontId="24" fillId="0" borderId="0" xfId="0" applyFont="1" applyFill="1" applyBorder="1" applyAlignment="1">
      <alignment horizontal="right"/>
    </xf>
    <xf numFmtId="0" fontId="24" fillId="0" borderId="0" xfId="0" applyFont="1" applyFill="1" applyBorder="1" applyAlignment="1">
      <alignment horizontal="left"/>
    </xf>
    <xf numFmtId="0" fontId="0" fillId="0" borderId="0" xfId="0" applyFill="1" applyBorder="1" applyAlignment="1">
      <alignment/>
    </xf>
    <xf numFmtId="0" fontId="24" fillId="0" borderId="1" xfId="0" applyFont="1" applyFill="1" applyBorder="1" applyAlignment="1">
      <alignment horizontal="left"/>
    </xf>
    <xf numFmtId="0" fontId="24" fillId="0" borderId="2" xfId="0" applyFont="1" applyFill="1" applyBorder="1" applyAlignment="1">
      <alignment horizontal="right"/>
    </xf>
    <xf numFmtId="0" fontId="0" fillId="0" borderId="2" xfId="0" applyFill="1" applyBorder="1" applyAlignment="1">
      <alignment/>
    </xf>
    <xf numFmtId="0" fontId="24" fillId="0" borderId="4" xfId="0" applyFont="1" applyFill="1" applyBorder="1" applyAlignment="1">
      <alignment horizontal="left"/>
    </xf>
    <xf numFmtId="0" fontId="24" fillId="0" borderId="0" xfId="0" applyFont="1" applyFill="1" applyBorder="1" applyAlignment="1" quotePrefix="1">
      <alignment vertical="center"/>
    </xf>
    <xf numFmtId="0" fontId="13" fillId="0" borderId="9" xfId="0" applyFont="1" applyFill="1" applyBorder="1" applyAlignment="1">
      <alignment vertical="center"/>
    </xf>
    <xf numFmtId="0" fontId="9" fillId="0" borderId="9" xfId="0" applyFont="1" applyFill="1" applyBorder="1" applyAlignment="1">
      <alignment horizontal="right" vertical="center"/>
    </xf>
    <xf numFmtId="0" fontId="18" fillId="0" borderId="1" xfId="0" applyFont="1" applyFill="1" applyBorder="1" applyAlignment="1">
      <alignment vertical="center"/>
    </xf>
    <xf numFmtId="0" fontId="23" fillId="0" borderId="0" xfId="0" applyFont="1" applyBorder="1" applyAlignment="1">
      <alignment vertical="center"/>
    </xf>
    <xf numFmtId="0" fontId="11" fillId="0" borderId="0" xfId="0" applyFont="1" applyFill="1" applyBorder="1" applyAlignment="1">
      <alignment horizontal="right" vertical="center"/>
    </xf>
    <xf numFmtId="0" fontId="36" fillId="0" borderId="0" xfId="0" applyFont="1" applyFill="1" applyAlignment="1">
      <alignment vertical="center"/>
    </xf>
    <xf numFmtId="0" fontId="23" fillId="0" borderId="6" xfId="0" applyFont="1" applyFill="1" applyBorder="1" applyAlignment="1">
      <alignment vertical="center"/>
    </xf>
    <xf numFmtId="0" fontId="9" fillId="0" borderId="2" xfId="0" applyFont="1" applyFill="1" applyBorder="1" applyAlignment="1">
      <alignment vertical="center"/>
    </xf>
    <xf numFmtId="0" fontId="0" fillId="0" borderId="19" xfId="0" applyFill="1" applyBorder="1" applyAlignment="1">
      <alignment vertical="center"/>
    </xf>
    <xf numFmtId="0" fontId="29" fillId="0" borderId="5" xfId="0" applyFont="1" applyFill="1" applyBorder="1" applyAlignment="1">
      <alignment vertical="center"/>
    </xf>
    <xf numFmtId="0" fontId="29" fillId="0" borderId="0" xfId="0" applyFont="1" applyFill="1" applyBorder="1" applyAlignment="1" quotePrefix="1">
      <alignment vertical="center"/>
    </xf>
    <xf numFmtId="0" fontId="13" fillId="0" borderId="0" xfId="0" applyFont="1" applyFill="1" applyBorder="1" applyAlignment="1">
      <alignment vertical="center"/>
    </xf>
    <xf numFmtId="0" fontId="29" fillId="0" borderId="0" xfId="0" applyFont="1" applyFill="1" applyBorder="1" applyAlignment="1" quotePrefix="1">
      <alignment horizontal="center" vertical="center"/>
    </xf>
    <xf numFmtId="0" fontId="24" fillId="0" borderId="0" xfId="0" applyFont="1" applyFill="1" applyAlignment="1" quotePrefix="1">
      <alignment vertical="center"/>
    </xf>
    <xf numFmtId="0" fontId="0" fillId="0" borderId="9" xfId="0" applyFill="1" applyBorder="1" applyAlignment="1">
      <alignment horizontal="center" vertical="center"/>
    </xf>
    <xf numFmtId="0" fontId="7" fillId="0" borderId="10" xfId="0" applyFont="1" applyFill="1" applyBorder="1" applyAlignment="1">
      <alignment horizontal="center" vertical="center"/>
    </xf>
    <xf numFmtId="0" fontId="0" fillId="0" borderId="14" xfId="0"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3" xfId="0" applyFont="1" applyFill="1" applyBorder="1" applyAlignment="1">
      <alignment horizontal="left" vertical="center"/>
    </xf>
    <xf numFmtId="0" fontId="9" fillId="0" borderId="1" xfId="0" applyFont="1" applyFill="1" applyBorder="1" applyAlignment="1">
      <alignment horizontal="left" vertical="center"/>
    </xf>
    <xf numFmtId="0" fontId="29" fillId="0" borderId="3" xfId="0" applyFont="1" applyFill="1" applyBorder="1" applyAlignment="1">
      <alignment horizontal="center" vertical="center"/>
    </xf>
    <xf numFmtId="0" fontId="37" fillId="0" borderId="3" xfId="0" applyFont="1" applyFill="1" applyBorder="1" applyAlignment="1">
      <alignment horizontal="left" vertical="center"/>
    </xf>
    <xf numFmtId="0" fontId="6" fillId="0"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2" xfId="0" applyFont="1" applyFill="1" applyBorder="1" applyAlignment="1">
      <alignment horizontal="center" vertical="center"/>
    </xf>
    <xf numFmtId="9" fontId="6" fillId="5" borderId="2" xfId="21" applyFont="1" applyFill="1" applyBorder="1" applyAlignment="1">
      <alignment horizontal="center" vertical="center"/>
    </xf>
    <xf numFmtId="0" fontId="6" fillId="5" borderId="4" xfId="0" applyFont="1" applyFill="1" applyBorder="1" applyAlignment="1">
      <alignment horizontal="center" vertical="center"/>
    </xf>
    <xf numFmtId="0" fontId="29" fillId="0" borderId="1" xfId="0" applyFont="1" applyFill="1" applyBorder="1" applyAlignment="1" quotePrefix="1">
      <alignment horizontal="center" vertical="center"/>
    </xf>
    <xf numFmtId="0" fontId="29" fillId="0" borderId="1" xfId="0" applyFont="1" applyFill="1" applyBorder="1" applyAlignment="1">
      <alignment horizontal="right" vertical="center"/>
    </xf>
    <xf numFmtId="0" fontId="0" fillId="0" borderId="4" xfId="0" applyBorder="1" applyAlignment="1">
      <alignment vertical="center"/>
    </xf>
    <xf numFmtId="0" fontId="9" fillId="0" borderId="1" xfId="0" applyFont="1" applyFill="1" applyBorder="1" applyAlignment="1">
      <alignment horizontal="center" vertical="center"/>
    </xf>
    <xf numFmtId="0" fontId="0" fillId="0" borderId="0" xfId="0" applyAlignment="1">
      <alignment horizontal="center" vertical="top" wrapText="1"/>
    </xf>
    <xf numFmtId="0" fontId="38" fillId="0" borderId="0" xfId="0" applyFont="1" applyAlignment="1">
      <alignment vertical="top" wrapText="1"/>
    </xf>
    <xf numFmtId="0" fontId="19" fillId="0" borderId="0" xfId="0" applyFont="1" applyAlignment="1">
      <alignment vertical="top" wrapText="1"/>
    </xf>
    <xf numFmtId="0" fontId="0" fillId="0" borderId="0" xfId="0" applyAlignment="1">
      <alignment vertical="top" wrapText="1"/>
    </xf>
    <xf numFmtId="0" fontId="0" fillId="0" borderId="0" xfId="0"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9" fontId="6" fillId="0" borderId="0" xfId="21" applyFont="1" applyBorder="1" applyAlignment="1">
      <alignment horizontal="center" vertical="top" wrapText="1"/>
    </xf>
    <xf numFmtId="0" fontId="29" fillId="0" borderId="0" xfId="0" applyFont="1" applyAlignment="1">
      <alignment horizontal="center" vertical="top" wrapText="1"/>
    </xf>
    <xf numFmtId="0" fontId="29"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20" fillId="0" borderId="0" xfId="0" applyFont="1" applyAlignment="1">
      <alignment vertical="top" wrapText="1"/>
    </xf>
    <xf numFmtId="0" fontId="0" fillId="0" borderId="0" xfId="0" applyBorder="1" applyAlignment="1">
      <alignment horizontal="center" vertical="top" wrapText="1"/>
    </xf>
    <xf numFmtId="0" fontId="29" fillId="0" borderId="9" xfId="0" applyFont="1" applyBorder="1" applyAlignment="1">
      <alignment vertical="top" wrapText="1"/>
    </xf>
    <xf numFmtId="0" fontId="29" fillId="0" borderId="9" xfId="0" applyFont="1" applyFill="1" applyBorder="1" applyAlignment="1">
      <alignment vertical="top" wrapText="1"/>
    </xf>
    <xf numFmtId="0" fontId="29" fillId="0" borderId="9" xfId="0" applyFont="1" applyFill="1" applyBorder="1" applyAlignment="1">
      <alignment horizontal="left" vertical="top" wrapText="1"/>
    </xf>
    <xf numFmtId="0" fontId="38" fillId="0" borderId="9" xfId="0" applyFont="1" applyBorder="1" applyAlignment="1">
      <alignment vertical="top" wrapText="1"/>
    </xf>
    <xf numFmtId="0" fontId="9" fillId="0" borderId="0" xfId="0" applyFont="1" applyBorder="1" applyAlignment="1">
      <alignment vertical="top" wrapText="1"/>
    </xf>
    <xf numFmtId="0" fontId="29" fillId="0" borderId="0" xfId="0" applyFont="1" applyBorder="1" applyAlignment="1">
      <alignment vertical="top" wrapText="1"/>
    </xf>
    <xf numFmtId="0" fontId="20" fillId="0" borderId="0" xfId="0" applyFont="1" applyBorder="1" applyAlignment="1">
      <alignment vertical="top" wrapText="1"/>
    </xf>
    <xf numFmtId="0" fontId="9" fillId="6" borderId="0" xfId="0" applyFont="1" applyFill="1" applyBorder="1" applyAlignment="1">
      <alignment vertical="top" wrapText="1"/>
    </xf>
    <xf numFmtId="1" fontId="20" fillId="0" borderId="6" xfId="0" applyNumberFormat="1" applyFont="1" applyBorder="1" applyAlignment="1">
      <alignment vertical="top" wrapText="1"/>
    </xf>
    <xf numFmtId="0" fontId="9" fillId="0" borderId="6" xfId="0" applyFont="1" applyBorder="1" applyAlignment="1" quotePrefix="1">
      <alignment vertical="top" wrapText="1"/>
    </xf>
    <xf numFmtId="0" fontId="9" fillId="0" borderId="6" xfId="0" applyFont="1" applyBorder="1" applyAlignment="1">
      <alignment vertical="top" wrapText="1"/>
    </xf>
    <xf numFmtId="0" fontId="9" fillId="0" borderId="6" xfId="0" applyFont="1" applyFill="1" applyBorder="1" applyAlignment="1">
      <alignment vertical="top" wrapText="1"/>
    </xf>
    <xf numFmtId="0" fontId="13" fillId="0" borderId="6" xfId="0" applyFont="1" applyBorder="1" applyAlignment="1">
      <alignment vertical="top" wrapText="1"/>
    </xf>
    <xf numFmtId="0" fontId="29" fillId="0" borderId="6" xfId="0" applyFont="1" applyBorder="1" applyAlignment="1">
      <alignment vertical="top" wrapText="1"/>
    </xf>
    <xf numFmtId="0" fontId="20" fillId="0" borderId="6" xfId="0" applyFont="1" applyBorder="1" applyAlignment="1">
      <alignment vertical="top" wrapText="1"/>
    </xf>
    <xf numFmtId="0" fontId="9" fillId="6" borderId="6" xfId="0" applyFont="1" applyFill="1" applyBorder="1" applyAlignment="1">
      <alignment vertical="top" wrapText="1"/>
    </xf>
    <xf numFmtId="0" fontId="23" fillId="0" borderId="2"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quotePrefix="1">
      <alignment horizontal="center" vertical="center"/>
    </xf>
    <xf numFmtId="0" fontId="32" fillId="0" borderId="0" xfId="0" applyFont="1" applyAlignment="1">
      <alignment horizontal="center" vertical="top" wrapText="1"/>
    </xf>
    <xf numFmtId="0" fontId="37" fillId="0" borderId="9" xfId="0" applyFont="1" applyBorder="1" applyAlignment="1">
      <alignment horizontal="center" vertical="top" wrapText="1"/>
    </xf>
    <xf numFmtId="0" fontId="37" fillId="0" borderId="9" xfId="0" applyFont="1" applyFill="1" applyBorder="1" applyAlignment="1">
      <alignment horizontal="center" vertical="top" wrapText="1"/>
    </xf>
    <xf numFmtId="0" fontId="40" fillId="0" borderId="6" xfId="0" applyFont="1" applyBorder="1" applyAlignment="1">
      <alignment horizontal="center" vertical="top" wrapText="1"/>
    </xf>
    <xf numFmtId="0" fontId="40" fillId="0" borderId="0" xfId="0" applyFont="1" applyBorder="1" applyAlignment="1">
      <alignment horizontal="center" vertical="top" wrapText="1"/>
    </xf>
    <xf numFmtId="0" fontId="40" fillId="0" borderId="0" xfId="0" applyFont="1" applyAlignment="1">
      <alignment horizontal="center" vertical="top" wrapText="1"/>
    </xf>
    <xf numFmtId="0" fontId="37" fillId="0" borderId="0" xfId="0" applyFont="1" applyAlignment="1">
      <alignment horizontal="center" vertical="top" wrapText="1"/>
    </xf>
    <xf numFmtId="0" fontId="32" fillId="0" borderId="0" xfId="0" applyFont="1" applyBorder="1" applyAlignment="1">
      <alignment horizontal="center" vertical="top" wrapText="1"/>
    </xf>
    <xf numFmtId="0" fontId="40" fillId="0" borderId="6"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2" borderId="6" xfId="0" applyFont="1" applyFill="1" applyBorder="1" applyAlignment="1">
      <alignment horizontal="center" vertical="top" wrapText="1"/>
    </xf>
    <xf numFmtId="0" fontId="40" fillId="2" borderId="0" xfId="0" applyFont="1" applyFill="1" applyBorder="1" applyAlignment="1">
      <alignment horizontal="center" vertical="top" wrapText="1"/>
    </xf>
    <xf numFmtId="0" fontId="9" fillId="6" borderId="6" xfId="0" applyFont="1" applyFill="1" applyBorder="1" applyAlignment="1">
      <alignment horizontal="center" vertical="top"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40" fillId="6" borderId="6" xfId="0" applyFont="1" applyFill="1" applyBorder="1" applyAlignment="1">
      <alignment horizontal="center" vertical="top" wrapText="1"/>
    </xf>
    <xf numFmtId="0" fontId="40" fillId="6" borderId="0" xfId="0" applyFont="1" applyFill="1" applyBorder="1" applyAlignment="1">
      <alignment horizontal="center" vertical="top" wrapText="1"/>
    </xf>
    <xf numFmtId="0" fontId="40" fillId="0" borderId="0" xfId="0" applyFont="1" applyFill="1" applyBorder="1" applyAlignment="1" quotePrefix="1">
      <alignment horizontal="center" vertical="top" wrapText="1"/>
    </xf>
    <xf numFmtId="0" fontId="40" fillId="0" borderId="0" xfId="0" applyFont="1" applyBorder="1" applyAlignment="1" quotePrefix="1">
      <alignment horizontal="center" vertical="top" wrapText="1"/>
    </xf>
    <xf numFmtId="0" fontId="40" fillId="0" borderId="6" xfId="0" applyFont="1" applyFill="1" applyBorder="1" applyAlignment="1" quotePrefix="1">
      <alignment horizontal="center" vertical="top" wrapText="1"/>
    </xf>
    <xf numFmtId="0" fontId="40" fillId="0" borderId="6" xfId="0" applyFont="1" applyBorder="1" applyAlignment="1" quotePrefix="1">
      <alignment horizontal="center" vertical="top" wrapText="1"/>
    </xf>
    <xf numFmtId="0" fontId="41" fillId="0" borderId="6" xfId="0" applyFont="1" applyBorder="1" applyAlignment="1">
      <alignment horizontal="center" vertical="top" wrapText="1"/>
    </xf>
    <xf numFmtId="0" fontId="40" fillId="0" borderId="0" xfId="0" applyFont="1" applyFill="1" applyAlignment="1">
      <alignment horizontal="center" vertical="top" wrapText="1"/>
    </xf>
    <xf numFmtId="0" fontId="37" fillId="0" borderId="0" xfId="0" applyFont="1" applyFill="1" applyAlignment="1">
      <alignment horizontal="center" vertical="top" wrapText="1"/>
    </xf>
    <xf numFmtId="0" fontId="19" fillId="0" borderId="0" xfId="0" applyFont="1" applyAlignment="1">
      <alignment horizontal="center" vertical="top" wrapText="1"/>
    </xf>
    <xf numFmtId="0" fontId="37" fillId="0" borderId="20" xfId="0" applyFont="1" applyFill="1" applyBorder="1" applyAlignment="1">
      <alignment horizontal="center" vertical="top" wrapText="1"/>
    </xf>
    <xf numFmtId="0" fontId="20" fillId="0" borderId="20" xfId="0" applyFont="1" applyBorder="1" applyAlignment="1">
      <alignment horizontal="center" vertical="top" wrapText="1"/>
    </xf>
    <xf numFmtId="0" fontId="20" fillId="0" borderId="0" xfId="0" applyFont="1" applyAlignment="1">
      <alignment horizontal="center" vertical="top" wrapText="1"/>
    </xf>
    <xf numFmtId="0" fontId="37" fillId="0" borderId="0" xfId="0" applyFont="1" applyFill="1" applyBorder="1" applyAlignment="1">
      <alignment vertical="center"/>
    </xf>
    <xf numFmtId="0" fontId="29" fillId="0" borderId="2" xfId="0" applyFont="1" applyFill="1" applyBorder="1" applyAlignment="1">
      <alignment vertical="center"/>
    </xf>
    <xf numFmtId="0" fontId="30" fillId="0" borderId="2" xfId="0" applyFont="1" applyFill="1" applyBorder="1" applyAlignment="1">
      <alignment vertical="center"/>
    </xf>
    <xf numFmtId="0" fontId="29" fillId="0" borderId="4" xfId="0" applyFont="1" applyFill="1" applyBorder="1" applyAlignment="1">
      <alignment vertical="center"/>
    </xf>
    <xf numFmtId="0" fontId="43" fillId="0" borderId="6" xfId="0" applyFont="1" applyBorder="1" applyAlignment="1">
      <alignment horizontal="center" vertical="top" wrapText="1"/>
    </xf>
    <xf numFmtId="0" fontId="44" fillId="0" borderId="6" xfId="0" applyFont="1" applyBorder="1" applyAlignment="1">
      <alignment vertical="top" wrapText="1"/>
    </xf>
    <xf numFmtId="9" fontId="9" fillId="0" borderId="0" xfId="21" applyFont="1" applyFill="1" applyAlignment="1">
      <alignment horizontal="center" vertical="top" wrapText="1"/>
    </xf>
    <xf numFmtId="0" fontId="9" fillId="0" borderId="0" xfId="0" applyFont="1" applyFill="1" applyBorder="1" applyAlignment="1" quotePrefix="1">
      <alignment horizontal="center"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28" fillId="4" borderId="0" xfId="0" applyFont="1" applyFill="1" applyBorder="1" applyAlignment="1" quotePrefix="1">
      <alignment horizontal="center" vertical="center"/>
    </xf>
    <xf numFmtId="0" fontId="1" fillId="4" borderId="0" xfId="0" applyFont="1" applyFill="1" applyBorder="1" applyAlignment="1">
      <alignment horizontal="center" vertical="center"/>
    </xf>
    <xf numFmtId="0" fontId="8" fillId="3" borderId="0" xfId="0" applyFont="1" applyFill="1" applyBorder="1" applyAlignment="1">
      <alignment horizontal="right" vertical="center"/>
    </xf>
    <xf numFmtId="0" fontId="1" fillId="0" borderId="1" xfId="0" applyFont="1" applyFill="1" applyBorder="1" applyAlignment="1" quotePrefix="1">
      <alignment horizontal="center" vertical="center"/>
    </xf>
    <xf numFmtId="0" fontId="45" fillId="0" borderId="3"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 fillId="0" borderId="6" xfId="0" applyFont="1" applyFill="1" applyBorder="1" applyAlignment="1">
      <alignment horizontal="left" vertical="center"/>
    </xf>
    <xf numFmtId="0" fontId="13" fillId="0" borderId="6" xfId="0" applyFont="1" applyBorder="1" applyAlignment="1" quotePrefix="1">
      <alignment horizontal="center" vertical="top" wrapText="1"/>
    </xf>
    <xf numFmtId="0" fontId="29" fillId="0" borderId="8" xfId="0" applyFont="1" applyFill="1" applyBorder="1" applyAlignment="1">
      <alignment vertical="center"/>
    </xf>
    <xf numFmtId="0" fontId="9" fillId="0" borderId="10" xfId="0" applyFont="1" applyFill="1" applyBorder="1" applyAlignment="1">
      <alignment vertical="center"/>
    </xf>
    <xf numFmtId="0" fontId="9" fillId="0" borderId="3"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1" fontId="8" fillId="0" borderId="0" xfId="0" applyNumberFormat="1" applyFont="1" applyFill="1" applyBorder="1" applyAlignment="1" quotePrefix="1">
      <alignment horizontal="center" vertical="center"/>
    </xf>
    <xf numFmtId="0" fontId="9" fillId="0" borderId="0" xfId="0" applyFont="1" applyAlignment="1">
      <alignment vertical="center"/>
    </xf>
    <xf numFmtId="0" fontId="9" fillId="0" borderId="0" xfId="0" applyFont="1" applyBorder="1" applyAlignment="1">
      <alignment vertical="center"/>
    </xf>
    <xf numFmtId="0" fontId="31" fillId="0" borderId="0" xfId="0" applyFont="1" applyBorder="1" applyAlignment="1">
      <alignment vertical="center"/>
    </xf>
    <xf numFmtId="0" fontId="29" fillId="0" borderId="0" xfId="0" applyFont="1" applyFill="1" applyBorder="1" applyAlignment="1">
      <alignment horizontal="right" vertical="center"/>
    </xf>
    <xf numFmtId="0" fontId="29" fillId="0" borderId="2" xfId="0" applyFont="1" applyFill="1" applyBorder="1" applyAlignment="1">
      <alignment horizontal="center" vertical="center"/>
    </xf>
    <xf numFmtId="0" fontId="29" fillId="0" borderId="2" xfId="0" applyFont="1" applyFill="1" applyBorder="1" applyAlignment="1" quotePrefix="1">
      <alignment vertical="center"/>
    </xf>
    <xf numFmtId="0" fontId="0" fillId="0" borderId="10" xfId="0" applyFill="1" applyBorder="1" applyAlignment="1">
      <alignment vertical="center"/>
    </xf>
    <xf numFmtId="0" fontId="9" fillId="0" borderId="11" xfId="0" applyFont="1" applyFill="1" applyBorder="1" applyAlignment="1">
      <alignment vertical="center"/>
    </xf>
    <xf numFmtId="0" fontId="9" fillId="0" borderId="6" xfId="0" applyFont="1" applyFill="1" applyBorder="1" applyAlignment="1">
      <alignment vertical="center"/>
    </xf>
    <xf numFmtId="0" fontId="40" fillId="0" borderId="0" xfId="0" applyFont="1" applyFill="1" applyBorder="1" applyAlignment="1">
      <alignment vertical="center"/>
    </xf>
    <xf numFmtId="0" fontId="47" fillId="0" borderId="7" xfId="0" applyFont="1" applyBorder="1" applyAlignment="1">
      <alignment vertical="center"/>
    </xf>
    <xf numFmtId="0" fontId="2" fillId="0" borderId="0" xfId="0" applyFont="1" applyAlignment="1">
      <alignment horizontal="center" vertical="top" wrapText="1"/>
    </xf>
    <xf numFmtId="0" fontId="1" fillId="0" borderId="0" xfId="0" applyFont="1" applyAlignment="1">
      <alignment horizontal="center" vertical="top" wrapText="1"/>
    </xf>
    <xf numFmtId="0" fontId="48" fillId="0" borderId="20" xfId="0" applyFont="1" applyBorder="1" applyAlignment="1">
      <alignment horizontal="center" vertical="top" wrapText="1"/>
    </xf>
    <xf numFmtId="0" fontId="46" fillId="0" borderId="0" xfId="0" applyFont="1" applyFill="1" applyBorder="1" applyAlignment="1" quotePrefix="1">
      <alignment horizontal="center" vertical="center"/>
    </xf>
    <xf numFmtId="0" fontId="29" fillId="0" borderId="0" xfId="0" applyFont="1" applyBorder="1" applyAlignment="1">
      <alignment vertical="center"/>
    </xf>
    <xf numFmtId="0" fontId="4" fillId="0" borderId="0" xfId="0" applyFont="1" applyFill="1" applyBorder="1" applyAlignment="1">
      <alignment horizontal="center" vertical="top"/>
    </xf>
    <xf numFmtId="0" fontId="20" fillId="0" borderId="9" xfId="0" applyFont="1" applyFill="1" applyBorder="1" applyAlignment="1">
      <alignment vertical="center"/>
    </xf>
    <xf numFmtId="0" fontId="20" fillId="0" borderId="9" xfId="0" applyFont="1" applyBorder="1" applyAlignment="1">
      <alignment vertical="center"/>
    </xf>
    <xf numFmtId="0" fontId="20" fillId="0" borderId="0" xfId="0" applyFont="1" applyBorder="1" applyAlignment="1">
      <alignment vertical="center"/>
    </xf>
    <xf numFmtId="0" fontId="9" fillId="0" borderId="9" xfId="0" applyFont="1" applyFill="1" applyBorder="1" applyAlignment="1">
      <alignment horizontal="left" vertical="center"/>
    </xf>
    <xf numFmtId="0" fontId="5" fillId="0" borderId="9" xfId="0" applyFont="1" applyFill="1" applyBorder="1" applyAlignment="1">
      <alignment vertical="center"/>
    </xf>
    <xf numFmtId="0" fontId="1" fillId="0" borderId="0" xfId="0" applyFont="1" applyBorder="1" applyAlignment="1">
      <alignment vertical="center"/>
    </xf>
    <xf numFmtId="0" fontId="8" fillId="0" borderId="3" xfId="0" applyFont="1" applyFill="1" applyBorder="1" applyAlignment="1">
      <alignment horizontal="center" vertical="center"/>
    </xf>
    <xf numFmtId="0" fontId="27" fillId="0" borderId="5" xfId="0" applyFont="1" applyFill="1" applyBorder="1" applyAlignment="1">
      <alignment vertical="center"/>
    </xf>
    <xf numFmtId="0" fontId="8" fillId="0" borderId="5" xfId="0" applyFont="1" applyFill="1" applyBorder="1" applyAlignment="1">
      <alignment horizontal="center" vertical="center"/>
    </xf>
    <xf numFmtId="0" fontId="20" fillId="0" borderId="2" xfId="0" applyFont="1" applyFill="1" applyBorder="1" applyAlignment="1">
      <alignment vertical="center"/>
    </xf>
    <xf numFmtId="0" fontId="13" fillId="0" borderId="2" xfId="0" applyFont="1" applyFill="1" applyBorder="1" applyAlignment="1">
      <alignment vertical="center"/>
    </xf>
    <xf numFmtId="0" fontId="8" fillId="0" borderId="2" xfId="0" applyFont="1" applyFill="1" applyBorder="1" applyAlignment="1">
      <alignment vertical="center"/>
    </xf>
    <xf numFmtId="0" fontId="20" fillId="0" borderId="2" xfId="0" applyFont="1" applyBorder="1" applyAlignment="1">
      <alignment vertical="center"/>
    </xf>
    <xf numFmtId="0" fontId="1" fillId="0" borderId="8" xfId="0" applyFont="1" applyBorder="1" applyAlignment="1" quotePrefix="1">
      <alignment vertical="center"/>
    </xf>
    <xf numFmtId="0" fontId="1" fillId="0" borderId="9" xfId="0" applyFont="1" applyBorder="1" applyAlignment="1" quotePrefix="1">
      <alignment vertical="center"/>
    </xf>
    <xf numFmtId="0" fontId="1" fillId="0" borderId="10" xfId="0" applyFont="1" applyBorder="1" applyAlignment="1" quotePrefix="1">
      <alignment vertical="center"/>
    </xf>
    <xf numFmtId="0" fontId="1" fillId="0" borderId="3" xfId="0" applyFont="1" applyBorder="1" applyAlignment="1">
      <alignment vertical="center"/>
    </xf>
    <xf numFmtId="0" fontId="1" fillId="0" borderId="0" xfId="0" applyFont="1" applyBorder="1" applyAlignment="1" quotePrefix="1">
      <alignment vertical="center"/>
    </xf>
    <xf numFmtId="0" fontId="20" fillId="0" borderId="0" xfId="0" applyFont="1" applyBorder="1" applyAlignment="1" quotePrefix="1">
      <alignment horizontal="center" vertical="center"/>
    </xf>
    <xf numFmtId="0" fontId="20" fillId="0" borderId="0" xfId="0" applyFont="1" applyBorder="1" applyAlignment="1" quotePrefix="1">
      <alignment vertical="center"/>
    </xf>
    <xf numFmtId="0" fontId="1" fillId="0" borderId="1" xfId="0" applyFont="1" applyBorder="1" applyAlignment="1" quotePrefix="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quotePrefix="1">
      <alignment horizontal="center" vertical="center"/>
    </xf>
    <xf numFmtId="0" fontId="21" fillId="0" borderId="0" xfId="0" applyFont="1" applyBorder="1" applyAlignment="1">
      <alignment vertical="center"/>
    </xf>
    <xf numFmtId="0" fontId="8" fillId="3" borderId="0" xfId="0" applyFont="1" applyFill="1" applyBorder="1" applyAlignment="1" quotePrefix="1">
      <alignment horizontal="right" vertical="center"/>
    </xf>
    <xf numFmtId="0" fontId="1" fillId="0" borderId="1" xfId="0" applyFont="1" applyBorder="1" applyAlignment="1">
      <alignment vertical="center"/>
    </xf>
    <xf numFmtId="0" fontId="1" fillId="0" borderId="5"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3" fillId="0" borderId="0" xfId="0" applyFont="1" applyFill="1" applyBorder="1" applyAlignment="1">
      <alignment vertical="center"/>
    </xf>
    <xf numFmtId="0" fontId="13" fillId="0" borderId="1" xfId="0" applyFont="1" applyFill="1" applyBorder="1" applyAlignment="1">
      <alignment vertical="center"/>
    </xf>
    <xf numFmtId="0" fontId="0" fillId="7" borderId="3" xfId="0" applyFill="1" applyBorder="1" applyAlignment="1">
      <alignment vertical="center"/>
    </xf>
    <xf numFmtId="0" fontId="0" fillId="7" borderId="0" xfId="0" applyFill="1" applyBorder="1" applyAlignment="1">
      <alignment vertical="center"/>
    </xf>
    <xf numFmtId="0" fontId="0" fillId="7" borderId="5" xfId="0" applyFill="1" applyBorder="1" applyAlignment="1">
      <alignment vertical="center"/>
    </xf>
    <xf numFmtId="0" fontId="0" fillId="7" borderId="2" xfId="0" applyFill="1" applyBorder="1" applyAlignment="1">
      <alignment vertical="center"/>
    </xf>
    <xf numFmtId="0" fontId="2" fillId="0" borderId="2" xfId="0" applyFont="1" applyBorder="1" applyAlignment="1">
      <alignment vertical="center"/>
    </xf>
    <xf numFmtId="0" fontId="20" fillId="0" borderId="3" xfId="0" applyFont="1" applyBorder="1" applyAlignment="1">
      <alignment vertical="center"/>
    </xf>
    <xf numFmtId="0" fontId="13" fillId="0" borderId="8" xfId="0" applyFont="1" applyFill="1" applyBorder="1" applyAlignment="1">
      <alignment/>
    </xf>
    <xf numFmtId="0" fontId="13" fillId="0" borderId="5" xfId="0" applyFont="1" applyFill="1" applyBorder="1" applyAlignment="1">
      <alignment/>
    </xf>
    <xf numFmtId="0" fontId="1" fillId="0" borderId="0" xfId="20" applyAlignment="1">
      <alignment horizontal="left"/>
      <protection/>
    </xf>
    <xf numFmtId="0" fontId="1" fillId="0" borderId="0" xfId="20">
      <alignment/>
      <protection/>
    </xf>
    <xf numFmtId="0" fontId="20" fillId="0" borderId="0" xfId="20" applyFont="1" applyAlignment="1">
      <alignment horizontal="center"/>
      <protection/>
    </xf>
    <xf numFmtId="0" fontId="20" fillId="0" borderId="0" xfId="20" applyFont="1">
      <alignment/>
      <protection/>
    </xf>
    <xf numFmtId="0" fontId="1" fillId="0" borderId="0" xfId="20" applyAlignment="1">
      <alignment horizontal="center"/>
      <protection/>
    </xf>
    <xf numFmtId="0" fontId="1" fillId="0" borderId="0" xfId="20" quotePrefix="1">
      <alignment/>
      <protection/>
    </xf>
    <xf numFmtId="0" fontId="1" fillId="8" borderId="0" xfId="20" applyFill="1" applyAlignment="1">
      <alignment horizontal="center"/>
      <protection/>
    </xf>
    <xf numFmtId="0" fontId="1" fillId="8" borderId="0" xfId="20" applyFill="1">
      <alignment/>
      <protection/>
    </xf>
    <xf numFmtId="0" fontId="1" fillId="9" borderId="0" xfId="20" applyFill="1" applyAlignment="1">
      <alignment horizontal="center"/>
      <protection/>
    </xf>
    <xf numFmtId="0" fontId="1" fillId="9" borderId="0" xfId="20" applyFill="1">
      <alignment/>
      <protection/>
    </xf>
    <xf numFmtId="0" fontId="1" fillId="10" borderId="0" xfId="20" applyFill="1">
      <alignment/>
      <protection/>
    </xf>
    <xf numFmtId="0" fontId="1" fillId="10" borderId="0" xfId="20" applyFill="1" quotePrefix="1">
      <alignment/>
      <protection/>
    </xf>
    <xf numFmtId="0" fontId="1" fillId="11" borderId="0" xfId="20" applyFill="1">
      <alignment/>
      <protection/>
    </xf>
    <xf numFmtId="0" fontId="1" fillId="12" borderId="0" xfId="20" applyFill="1">
      <alignment/>
      <protection/>
    </xf>
    <xf numFmtId="0" fontId="1" fillId="8" borderId="0" xfId="20" applyFill="1" quotePrefix="1">
      <alignment/>
      <protection/>
    </xf>
    <xf numFmtId="0" fontId="1" fillId="0" borderId="0" xfId="20" applyAlignment="1">
      <alignment horizontal="right"/>
      <protection/>
    </xf>
    <xf numFmtId="0" fontId="1" fillId="0" borderId="0" xfId="20" applyFill="1">
      <alignment/>
      <protection/>
    </xf>
    <xf numFmtId="0" fontId="1" fillId="0" borderId="0" xfId="20" applyFill="1" quotePrefix="1">
      <alignment/>
      <protection/>
    </xf>
    <xf numFmtId="0" fontId="1" fillId="0" borderId="0" xfId="20" applyFont="1">
      <alignment/>
      <protection/>
    </xf>
    <xf numFmtId="0" fontId="1" fillId="0" borderId="0" xfId="20" applyFont="1" applyAlignment="1">
      <alignment horizontal="center"/>
      <protection/>
    </xf>
    <xf numFmtId="0" fontId="17" fillId="0" borderId="0" xfId="20" applyFont="1">
      <alignment/>
      <protection/>
    </xf>
    <xf numFmtId="0" fontId="52" fillId="0" borderId="0" xfId="20" applyFont="1">
      <alignment/>
      <protection/>
    </xf>
    <xf numFmtId="0" fontId="0" fillId="0" borderId="0" xfId="0"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3" xfId="0" applyFont="1" applyBorder="1" applyAlignment="1" quotePrefix="1">
      <alignment vertical="center"/>
    </xf>
    <xf numFmtId="0" fontId="53" fillId="0" borderId="6" xfId="0" applyFont="1" applyBorder="1" applyAlignment="1">
      <alignment vertical="center"/>
    </xf>
    <xf numFmtId="0" fontId="21" fillId="0" borderId="6" xfId="0" applyFont="1" applyFill="1" applyBorder="1" applyAlignment="1">
      <alignment horizontal="left" vertical="center"/>
    </xf>
    <xf numFmtId="0" fontId="0" fillId="0" borderId="4" xfId="0" applyFill="1" applyBorder="1" applyAlignment="1">
      <alignment vertical="center"/>
    </xf>
    <xf numFmtId="0" fontId="8" fillId="2" borderId="8" xfId="0" applyFont="1" applyFill="1" applyBorder="1" applyAlignment="1">
      <alignment vertical="center"/>
    </xf>
    <xf numFmtId="0" fontId="8" fillId="2" borderId="5" xfId="0" applyFont="1" applyFill="1" applyBorder="1" applyAlignment="1">
      <alignment vertical="center"/>
    </xf>
    <xf numFmtId="0" fontId="29" fillId="0" borderId="8" xfId="0" applyFont="1" applyBorder="1" applyAlignment="1">
      <alignment vertical="center"/>
    </xf>
    <xf numFmtId="0" fontId="29" fillId="0" borderId="9" xfId="0" applyFont="1" applyBorder="1" applyAlignment="1">
      <alignment vertical="center"/>
    </xf>
    <xf numFmtId="0" fontId="9" fillId="0" borderId="1" xfId="0" applyFont="1" applyBorder="1" applyAlignment="1">
      <alignment vertical="center"/>
    </xf>
    <xf numFmtId="0" fontId="9" fillId="0" borderId="3" xfId="0" applyFont="1" applyBorder="1" applyAlignment="1">
      <alignment vertical="center"/>
    </xf>
    <xf numFmtId="0" fontId="29" fillId="0" borderId="3" xfId="0" applyFont="1" applyBorder="1" applyAlignment="1">
      <alignment vertical="center"/>
    </xf>
    <xf numFmtId="0" fontId="1" fillId="9" borderId="0" xfId="20" applyFont="1" applyFill="1" applyAlignment="1">
      <alignment horizontal="center"/>
      <protection/>
    </xf>
    <xf numFmtId="0" fontId="9" fillId="0" borderId="5" xfId="0" applyFont="1" applyBorder="1" applyAlignment="1">
      <alignment vertical="center"/>
    </xf>
    <xf numFmtId="0" fontId="29" fillId="0" borderId="2" xfId="0" applyFont="1" applyBorder="1" applyAlignment="1">
      <alignment vertical="center"/>
    </xf>
    <xf numFmtId="0" fontId="9" fillId="0" borderId="2" xfId="0" applyFont="1" applyBorder="1" applyAlignment="1">
      <alignment vertical="center"/>
    </xf>
    <xf numFmtId="0" fontId="9" fillId="0" borderId="4" xfId="0" applyFont="1" applyBorder="1" applyAlignment="1">
      <alignment vertical="center"/>
    </xf>
    <xf numFmtId="0" fontId="17" fillId="0" borderId="2" xfId="0" applyFont="1" applyFill="1" applyBorder="1" applyAlignment="1">
      <alignment vertical="center"/>
    </xf>
    <xf numFmtId="0" fontId="40" fillId="0" borderId="9" xfId="0" applyFont="1" applyFill="1" applyBorder="1" applyAlignment="1">
      <alignment vertical="center"/>
    </xf>
    <xf numFmtId="0" fontId="37" fillId="0" borderId="0" xfId="0" applyFont="1" applyFill="1" applyBorder="1" applyAlignment="1" quotePrefix="1">
      <alignment vertical="center"/>
    </xf>
    <xf numFmtId="0" fontId="40" fillId="0" borderId="6" xfId="0" applyFont="1" applyFill="1" applyBorder="1" applyAlignment="1">
      <alignment vertical="center"/>
    </xf>
    <xf numFmtId="0" fontId="40" fillId="0" borderId="2" xfId="0" applyFont="1" applyFill="1" applyBorder="1" applyAlignment="1">
      <alignment vertical="center"/>
    </xf>
    <xf numFmtId="0" fontId="21" fillId="0" borderId="0" xfId="0" applyFont="1" applyBorder="1" applyAlignment="1">
      <alignment horizontal="left" vertical="center"/>
    </xf>
    <xf numFmtId="0" fontId="29" fillId="0" borderId="1" xfId="0" applyFont="1" applyFill="1" applyBorder="1" applyAlignment="1">
      <alignment horizontal="center" vertical="center"/>
    </xf>
    <xf numFmtId="0" fontId="45" fillId="0" borderId="1" xfId="0" applyFont="1" applyFill="1" applyBorder="1" applyAlignment="1">
      <alignment horizontal="center" vertical="center"/>
    </xf>
    <xf numFmtId="0" fontId="20" fillId="0" borderId="22" xfId="0" applyFont="1" applyBorder="1" applyAlignment="1">
      <alignment horizontal="center" vertical="top" wrapText="1"/>
    </xf>
    <xf numFmtId="0" fontId="48" fillId="0" borderId="22" xfId="0" applyFont="1" applyBorder="1" applyAlignment="1">
      <alignment horizontal="center" vertical="top" wrapText="1"/>
    </xf>
    <xf numFmtId="1" fontId="29" fillId="0" borderId="0" xfId="0" applyNumberFormat="1" applyFont="1" applyBorder="1" applyAlignment="1">
      <alignment vertical="top" wrapText="1"/>
    </xf>
    <xf numFmtId="0" fontId="9" fillId="0" borderId="0" xfId="0" applyFont="1" applyBorder="1" applyAlignment="1" quotePrefix="1">
      <alignment vertical="top" wrapText="1"/>
    </xf>
    <xf numFmtId="0" fontId="9" fillId="0" borderId="0" xfId="0" applyFont="1" applyFill="1" applyBorder="1" applyAlignment="1">
      <alignment vertical="top" wrapText="1"/>
    </xf>
    <xf numFmtId="0" fontId="9" fillId="6" borderId="0" xfId="0" applyFont="1" applyFill="1" applyBorder="1" applyAlignment="1">
      <alignment horizontal="center" vertical="top" wrapText="1"/>
    </xf>
    <xf numFmtId="0" fontId="29" fillId="7" borderId="0" xfId="0" applyFont="1" applyFill="1" applyBorder="1" applyAlignment="1">
      <alignment vertical="top" wrapText="1"/>
    </xf>
    <xf numFmtId="0" fontId="9" fillId="7" borderId="0" xfId="0" applyFont="1" applyFill="1" applyBorder="1" applyAlignment="1">
      <alignment vertical="top" wrapText="1"/>
    </xf>
    <xf numFmtId="0" fontId="55" fillId="0" borderId="0" xfId="0" applyFont="1" applyBorder="1" applyAlignment="1">
      <alignment vertical="top" wrapText="1"/>
    </xf>
    <xf numFmtId="0" fontId="20" fillId="0" borderId="8" xfId="20" applyFont="1" applyBorder="1" applyAlignment="1">
      <alignment horizontal="center"/>
      <protection/>
    </xf>
    <xf numFmtId="0" fontId="20" fillId="0" borderId="9" xfId="20" applyFont="1" applyBorder="1">
      <alignment/>
      <protection/>
    </xf>
    <xf numFmtId="0" fontId="52" fillId="0" borderId="9" xfId="20" applyFont="1" applyBorder="1">
      <alignment/>
      <protection/>
    </xf>
    <xf numFmtId="0" fontId="20" fillId="0" borderId="9" xfId="20" applyFont="1" applyBorder="1" applyAlignment="1">
      <alignment horizontal="center"/>
      <protection/>
    </xf>
    <xf numFmtId="0" fontId="20" fillId="0" borderId="9" xfId="20" applyFont="1" applyBorder="1" applyAlignment="1">
      <alignment/>
      <protection/>
    </xf>
    <xf numFmtId="0" fontId="20" fillId="0" borderId="10" xfId="20" applyFont="1" applyBorder="1">
      <alignment/>
      <protection/>
    </xf>
    <xf numFmtId="0" fontId="1" fillId="0" borderId="3" xfId="20" applyFont="1" applyFill="1" applyBorder="1" applyAlignment="1">
      <alignment horizontal="center"/>
      <protection/>
    </xf>
    <xf numFmtId="0" fontId="1" fillId="0" borderId="0" xfId="20" applyFont="1" applyBorder="1">
      <alignment/>
      <protection/>
    </xf>
    <xf numFmtId="0" fontId="17" fillId="0" borderId="0" xfId="20" applyFont="1" applyBorder="1">
      <alignment/>
      <protection/>
    </xf>
    <xf numFmtId="0" fontId="1" fillId="0" borderId="0" xfId="20" applyFont="1" applyBorder="1" applyAlignment="1">
      <alignment horizontal="center"/>
      <protection/>
    </xf>
    <xf numFmtId="0" fontId="1" fillId="0" borderId="0" xfId="20" applyFont="1" applyBorder="1" applyAlignment="1">
      <alignment/>
      <protection/>
    </xf>
    <xf numFmtId="0" fontId="1" fillId="0" borderId="0" xfId="20" applyBorder="1" applyAlignment="1">
      <alignment horizontal="center"/>
      <protection/>
    </xf>
    <xf numFmtId="0" fontId="1" fillId="0" borderId="1" xfId="20" applyFont="1" applyBorder="1">
      <alignment/>
      <protection/>
    </xf>
    <xf numFmtId="0" fontId="1" fillId="0" borderId="0" xfId="20" applyFont="1" applyBorder="1" applyAlignment="1" quotePrefix="1">
      <alignment/>
      <protection/>
    </xf>
    <xf numFmtId="0" fontId="1" fillId="0" borderId="1" xfId="20" applyFont="1" applyBorder="1" quotePrefix="1">
      <alignment/>
      <protection/>
    </xf>
    <xf numFmtId="0" fontId="0" fillId="0" borderId="3" xfId="0" applyBorder="1" applyAlignment="1">
      <alignment vertical="center"/>
    </xf>
    <xf numFmtId="0" fontId="0" fillId="0" borderId="0" xfId="0" applyBorder="1" applyAlignment="1">
      <alignment horizontal="center" vertical="center"/>
    </xf>
    <xf numFmtId="0" fontId="0" fillId="0" borderId="1" xfId="0" applyBorder="1" applyAlignment="1">
      <alignment vertical="center"/>
    </xf>
    <xf numFmtId="0" fontId="20" fillId="0" borderId="3" xfId="20" applyFont="1" applyBorder="1">
      <alignment/>
      <protection/>
    </xf>
    <xf numFmtId="0" fontId="1" fillId="0" borderId="3" xfId="20" applyFont="1" applyBorder="1">
      <alignment/>
      <protection/>
    </xf>
    <xf numFmtId="0" fontId="1" fillId="0" borderId="5" xfId="20" applyFont="1" applyBorder="1">
      <alignment/>
      <protection/>
    </xf>
    <xf numFmtId="0" fontId="0" fillId="0" borderId="2" xfId="0"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0" fontId="54" fillId="0" borderId="0" xfId="0" applyFont="1" applyFill="1" applyBorder="1" applyAlignment="1">
      <alignment horizontal="center" vertical="top" wrapText="1"/>
    </xf>
    <xf numFmtId="0" fontId="43" fillId="0" borderId="6" xfId="0" applyFont="1" applyFill="1" applyBorder="1" applyAlignment="1">
      <alignment horizontal="center" vertical="top" wrapText="1"/>
    </xf>
    <xf numFmtId="0" fontId="20" fillId="7" borderId="23" xfId="0" applyFont="1" applyFill="1" applyBorder="1" applyAlignment="1">
      <alignment horizontal="center" vertical="top" wrapText="1"/>
    </xf>
    <xf numFmtId="0" fontId="1" fillId="7" borderId="23" xfId="0" applyFont="1" applyFill="1" applyBorder="1" applyAlignment="1">
      <alignment horizontal="center" vertical="top" wrapText="1"/>
    </xf>
    <xf numFmtId="0" fontId="20" fillId="0" borderId="23" xfId="0" applyFont="1" applyBorder="1" applyAlignment="1">
      <alignment horizontal="center" vertical="top" wrapText="1"/>
    </xf>
    <xf numFmtId="0" fontId="48" fillId="0" borderId="23" xfId="0" applyFont="1" applyBorder="1" applyAlignment="1">
      <alignment horizontal="center" vertical="top" wrapText="1"/>
    </xf>
    <xf numFmtId="1" fontId="20" fillId="0" borderId="23" xfId="0" applyNumberFormat="1" applyFont="1" applyBorder="1" applyAlignment="1">
      <alignment horizontal="center" vertical="top" wrapText="1"/>
    </xf>
    <xf numFmtId="1" fontId="48" fillId="0" borderId="23" xfId="0" applyNumberFormat="1" applyFont="1" applyBorder="1" applyAlignment="1">
      <alignment horizontal="center" vertical="top" wrapText="1"/>
    </xf>
    <xf numFmtId="0" fontId="54" fillId="0" borderId="6" xfId="0" applyFont="1" applyFill="1" applyBorder="1" applyAlignment="1">
      <alignment horizontal="center" vertical="top" wrapText="1"/>
    </xf>
    <xf numFmtId="0" fontId="55" fillId="0" borderId="6" xfId="0" applyFont="1" applyBorder="1" applyAlignment="1">
      <alignment vertical="top" wrapText="1"/>
    </xf>
    <xf numFmtId="0" fontId="56" fillId="0" borderId="3"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59" fillId="0" borderId="0" xfId="0" applyFont="1" applyFill="1" applyBorder="1" applyAlignment="1">
      <alignment vertical="center"/>
    </xf>
    <xf numFmtId="0" fontId="60" fillId="0" borderId="1" xfId="0" applyFont="1" applyFill="1" applyBorder="1" applyAlignment="1">
      <alignment vertical="center"/>
    </xf>
    <xf numFmtId="0" fontId="61" fillId="0" borderId="1" xfId="0" applyFont="1" applyFill="1" applyBorder="1" applyAlignment="1">
      <alignment vertical="center"/>
    </xf>
    <xf numFmtId="0" fontId="62" fillId="0" borderId="1" xfId="0" applyFont="1" applyFill="1" applyBorder="1" applyAlignment="1">
      <alignment vertical="center"/>
    </xf>
    <xf numFmtId="0" fontId="63" fillId="0" borderId="1" xfId="0" applyFont="1" applyFill="1" applyBorder="1" applyAlignment="1">
      <alignment vertical="center"/>
    </xf>
    <xf numFmtId="0" fontId="59" fillId="0" borderId="0" xfId="0" applyFont="1" applyFill="1" applyBorder="1" applyAlignment="1" quotePrefix="1">
      <alignment vertical="center"/>
    </xf>
    <xf numFmtId="0" fontId="63" fillId="0" borderId="1" xfId="0" applyFont="1" applyFill="1" applyBorder="1" applyAlignment="1">
      <alignment vertical="center"/>
    </xf>
    <xf numFmtId="0" fontId="61" fillId="0" borderId="1" xfId="0" applyFont="1" applyFill="1" applyBorder="1" applyAlignment="1">
      <alignment vertical="center"/>
    </xf>
    <xf numFmtId="0" fontId="64" fillId="0" borderId="0" xfId="0" applyFont="1" applyFill="1" applyBorder="1" applyAlignment="1" quotePrefix="1">
      <alignment vertical="center"/>
    </xf>
    <xf numFmtId="0" fontId="0" fillId="0" borderId="5" xfId="0" applyFont="1" applyFill="1" applyBorder="1" applyAlignment="1">
      <alignment vertical="center"/>
    </xf>
    <xf numFmtId="0" fontId="0" fillId="0" borderId="2" xfId="0" applyFont="1" applyFill="1" applyBorder="1" applyAlignment="1">
      <alignment/>
    </xf>
    <xf numFmtId="0" fontId="24" fillId="0" borderId="2" xfId="0" applyFont="1" applyFill="1" applyBorder="1" applyAlignment="1">
      <alignment horizontal="left"/>
    </xf>
    <xf numFmtId="0" fontId="0" fillId="0" borderId="2" xfId="0" applyFont="1" applyFill="1" applyBorder="1" applyAlignment="1">
      <alignment vertical="center"/>
    </xf>
    <xf numFmtId="1" fontId="8" fillId="0" borderId="9" xfId="0" applyNumberFormat="1" applyFont="1" applyFill="1" applyBorder="1" applyAlignment="1" quotePrefix="1">
      <alignment horizontal="center" vertical="center"/>
    </xf>
    <xf numFmtId="0" fontId="13" fillId="0" borderId="6" xfId="0" applyFont="1" applyFill="1" applyBorder="1" applyAlignment="1">
      <alignment horizontal="left" vertical="center"/>
    </xf>
    <xf numFmtId="0" fontId="1" fillId="0" borderId="0" xfId="0" applyFont="1" applyFill="1" applyBorder="1" applyAlignment="1">
      <alignment horizontal="center" vertical="top"/>
    </xf>
    <xf numFmtId="0" fontId="0" fillId="0" borderId="0" xfId="0" applyFill="1" applyBorder="1" applyAlignment="1">
      <alignment horizontal="right" vertical="center"/>
    </xf>
    <xf numFmtId="0" fontId="20" fillId="0" borderId="0" xfId="0" applyFont="1" applyFill="1" applyBorder="1" applyAlignment="1" quotePrefix="1">
      <alignment horizontal="left" vertical="center"/>
    </xf>
    <xf numFmtId="0" fontId="48" fillId="0" borderId="0" xfId="0" applyFont="1" applyFill="1" applyBorder="1" applyAlignment="1" quotePrefix="1">
      <alignment vertical="center"/>
    </xf>
    <xf numFmtId="0" fontId="1" fillId="0" borderId="0" xfId="0" applyFont="1" applyFill="1" applyBorder="1" applyAlignment="1" quotePrefix="1">
      <alignment horizontal="center" vertical="center"/>
    </xf>
    <xf numFmtId="0" fontId="20" fillId="0" borderId="0" xfId="0" applyFont="1" applyFill="1" applyBorder="1" applyAlignment="1" quotePrefix="1">
      <alignment horizontal="right" vertical="center"/>
    </xf>
    <xf numFmtId="0" fontId="65" fillId="0" borderId="3" xfId="0" applyFont="1" applyFill="1" applyBorder="1" applyAlignment="1">
      <alignment horizontal="left" vertical="center"/>
    </xf>
    <xf numFmtId="0" fontId="65" fillId="0" borderId="0" xfId="0" applyFont="1" applyFill="1" applyBorder="1" applyAlignment="1">
      <alignmen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vertical="center"/>
    </xf>
    <xf numFmtId="0" fontId="67" fillId="0" borderId="0" xfId="0" applyFont="1" applyFill="1" applyBorder="1" applyAlignment="1">
      <alignment vertical="center"/>
    </xf>
    <xf numFmtId="0" fontId="65" fillId="0" borderId="0" xfId="0" applyFont="1" applyFill="1" applyBorder="1" applyAlignment="1" quotePrefix="1">
      <alignment horizontal="center" vertical="center"/>
    </xf>
    <xf numFmtId="0" fontId="67" fillId="0" borderId="0" xfId="0" applyFont="1" applyFill="1" applyBorder="1" applyAlignment="1">
      <alignment horizontal="left" vertical="center"/>
    </xf>
    <xf numFmtId="0" fontId="11" fillId="0" borderId="6" xfId="0" applyFont="1" applyFill="1" applyBorder="1" applyAlignment="1">
      <alignment horizontal="left" vertical="center"/>
    </xf>
    <xf numFmtId="0" fontId="20" fillId="0" borderId="9" xfId="0" applyFont="1" applyFill="1" applyBorder="1" applyAlignment="1">
      <alignment horizontal="right" vertical="center"/>
    </xf>
    <xf numFmtId="0" fontId="23" fillId="0" borderId="4" xfId="0" applyFont="1" applyFill="1" applyBorder="1" applyAlignment="1">
      <alignment horizontal="center" vertical="center"/>
    </xf>
    <xf numFmtId="0" fontId="6" fillId="0" borderId="2" xfId="0" applyFont="1" applyFill="1" applyBorder="1" applyAlignment="1">
      <alignment vertical="center"/>
    </xf>
    <xf numFmtId="9" fontId="23" fillId="0" borderId="2" xfId="0" applyNumberFormat="1" applyFont="1" applyFill="1" applyBorder="1" applyAlignment="1" quotePrefix="1">
      <alignment horizontal="center" vertical="center"/>
    </xf>
    <xf numFmtId="0" fontId="13" fillId="0" borderId="3" xfId="0" applyFont="1" applyBorder="1" applyAlignment="1">
      <alignment vertical="center"/>
    </xf>
    <xf numFmtId="0" fontId="17" fillId="0" borderId="0" xfId="0" applyFont="1" applyFill="1" applyBorder="1" applyAlignment="1" quotePrefix="1">
      <alignment vertical="center"/>
    </xf>
    <xf numFmtId="0" fontId="29" fillId="0" borderId="9" xfId="0" applyFont="1" applyFill="1" applyBorder="1" applyAlignment="1">
      <alignment horizontal="right" vertical="center"/>
    </xf>
    <xf numFmtId="0" fontId="68" fillId="0" borderId="3" xfId="0" applyFont="1" applyFill="1" applyBorder="1" applyAlignment="1">
      <alignment vertical="center"/>
    </xf>
    <xf numFmtId="0" fontId="9" fillId="0" borderId="2" xfId="0" applyFont="1" applyFill="1" applyBorder="1" applyAlignment="1">
      <alignment horizontal="right" vertical="center"/>
    </xf>
    <xf numFmtId="0" fontId="29" fillId="0" borderId="2" xfId="0" applyFont="1" applyFill="1" applyBorder="1" applyAlignment="1">
      <alignment horizontal="right" vertical="center"/>
    </xf>
    <xf numFmtId="0" fontId="29" fillId="0" borderId="2" xfId="0" applyFont="1" applyFill="1" applyBorder="1" applyAlignment="1" quotePrefix="1">
      <alignment horizontal="center" vertical="center"/>
    </xf>
    <xf numFmtId="0" fontId="9" fillId="0" borderId="2" xfId="0" applyFont="1" applyFill="1" applyBorder="1" applyAlignment="1" quotePrefix="1">
      <alignment vertical="center"/>
    </xf>
    <xf numFmtId="0" fontId="9" fillId="0" borderId="4" xfId="0" applyFont="1" applyFill="1" applyBorder="1" applyAlignment="1" quotePrefix="1">
      <alignment vertical="center"/>
    </xf>
    <xf numFmtId="0" fontId="8" fillId="0" borderId="3" xfId="0" applyFont="1" applyFill="1" applyBorder="1" applyAlignment="1" quotePrefix="1">
      <alignment vertical="center"/>
    </xf>
    <xf numFmtId="0" fontId="32" fillId="0" borderId="5" xfId="0" applyFont="1" applyFill="1" applyBorder="1" applyAlignment="1" quotePrefix="1">
      <alignment vertical="center"/>
    </xf>
    <xf numFmtId="0" fontId="37" fillId="0" borderId="0" xfId="0" applyFont="1" applyFill="1" applyBorder="1" applyAlignment="1">
      <alignment horizontal="center" vertical="top" wrapText="1"/>
    </xf>
    <xf numFmtId="0" fontId="1" fillId="0" borderId="9" xfId="20" applyBorder="1">
      <alignment/>
      <protection/>
    </xf>
    <xf numFmtId="0" fontId="1" fillId="0" borderId="9" xfId="20" applyBorder="1" quotePrefix="1">
      <alignment/>
      <protection/>
    </xf>
    <xf numFmtId="0" fontId="40" fillId="0" borderId="9" xfId="0" applyFont="1" applyFill="1" applyBorder="1" applyAlignment="1" quotePrefix="1">
      <alignment horizontal="center" vertical="top" wrapText="1"/>
    </xf>
    <xf numFmtId="0" fontId="37" fillId="0" borderId="6" xfId="0" applyFont="1" applyFill="1" applyBorder="1" applyAlignment="1">
      <alignment horizontal="center" vertical="top" wrapText="1"/>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6" xfId="0" applyFont="1" applyFill="1" applyBorder="1" applyAlignment="1" quotePrefix="1">
      <alignment horizontal="right" vertical="center"/>
    </xf>
    <xf numFmtId="0" fontId="23" fillId="0" borderId="6" xfId="0" applyFont="1" applyFill="1" applyBorder="1" applyAlignment="1">
      <alignment horizontal="right" vertical="center"/>
    </xf>
    <xf numFmtId="0" fontId="40" fillId="0" borderId="9" xfId="0" applyFont="1" applyFill="1" applyBorder="1" applyAlignment="1">
      <alignment horizontal="center" vertical="top" wrapText="1"/>
    </xf>
    <xf numFmtId="0" fontId="20" fillId="0" borderId="24" xfId="0" applyFont="1" applyBorder="1" applyAlignment="1">
      <alignment horizontal="center" vertical="top" wrapText="1"/>
    </xf>
    <xf numFmtId="0" fontId="48" fillId="0" borderId="24" xfId="0" applyFont="1" applyBorder="1" applyAlignment="1">
      <alignment horizontal="center" vertical="top" wrapText="1"/>
    </xf>
    <xf numFmtId="0" fontId="9" fillId="0" borderId="9" xfId="0" applyFont="1" applyBorder="1" applyAlignment="1">
      <alignment vertical="top" wrapText="1"/>
    </xf>
    <xf numFmtId="0" fontId="40" fillId="0" borderId="9" xfId="0" applyFont="1" applyBorder="1" applyAlignment="1">
      <alignment horizontal="center" vertical="top" wrapText="1"/>
    </xf>
    <xf numFmtId="0" fontId="40" fillId="6" borderId="9" xfId="0" applyFont="1" applyFill="1" applyBorder="1" applyAlignment="1">
      <alignment horizontal="center" vertical="top" wrapText="1"/>
    </xf>
    <xf numFmtId="0" fontId="9" fillId="6" borderId="9" xfId="0" applyFont="1" applyFill="1" applyBorder="1" applyAlignment="1">
      <alignment horizontal="center" vertical="top" wrapText="1"/>
    </xf>
    <xf numFmtId="0" fontId="13" fillId="0" borderId="9" xfId="0" applyFont="1" applyBorder="1" applyAlignment="1">
      <alignment vertical="top" wrapText="1"/>
    </xf>
    <xf numFmtId="0" fontId="20" fillId="0" borderId="9" xfId="0" applyFont="1" applyBorder="1" applyAlignment="1">
      <alignment vertical="top" wrapText="1"/>
    </xf>
    <xf numFmtId="0" fontId="1" fillId="0" borderId="6" xfId="20" applyBorder="1">
      <alignment/>
      <protection/>
    </xf>
    <xf numFmtId="0" fontId="1" fillId="0" borderId="0" xfId="20" applyBorder="1">
      <alignment/>
      <protection/>
    </xf>
    <xf numFmtId="0" fontId="1" fillId="0" borderId="6" xfId="20" applyBorder="1" quotePrefix="1">
      <alignment/>
      <protection/>
    </xf>
    <xf numFmtId="0" fontId="1" fillId="0" borderId="0" xfId="20" applyBorder="1" quotePrefix="1">
      <alignment/>
      <protection/>
    </xf>
    <xf numFmtId="0" fontId="1" fillId="8" borderId="0" xfId="20" applyFill="1" applyBorder="1">
      <alignment/>
      <protection/>
    </xf>
    <xf numFmtId="0" fontId="40" fillId="2" borderId="9" xfId="0" applyFont="1" applyFill="1" applyBorder="1" applyAlignment="1">
      <alignment horizontal="center" vertical="top" wrapText="1"/>
    </xf>
    <xf numFmtId="0" fontId="1" fillId="8" borderId="6" xfId="20" applyFill="1" applyBorder="1">
      <alignment/>
      <protection/>
    </xf>
    <xf numFmtId="0" fontId="40" fillId="0" borderId="2" xfId="0" applyFont="1" applyFill="1" applyBorder="1" applyAlignment="1">
      <alignment horizontal="center" vertical="top" wrapText="1"/>
    </xf>
    <xf numFmtId="0" fontId="29" fillId="0" borderId="2" xfId="0" applyFont="1" applyBorder="1" applyAlignment="1">
      <alignment vertical="top" wrapText="1"/>
    </xf>
    <xf numFmtId="0" fontId="9" fillId="0" borderId="2" xfId="0" applyFont="1" applyBorder="1" applyAlignment="1">
      <alignment vertical="top" wrapText="1"/>
    </xf>
    <xf numFmtId="0" fontId="40" fillId="0" borderId="2" xfId="0" applyFont="1" applyBorder="1" applyAlignment="1">
      <alignment horizontal="center" vertical="top" wrapText="1"/>
    </xf>
    <xf numFmtId="0" fontId="9" fillId="0" borderId="2" xfId="0" applyFont="1" applyFill="1" applyBorder="1" applyAlignment="1">
      <alignment horizontal="center" vertical="top" wrapText="1"/>
    </xf>
    <xf numFmtId="0" fontId="20" fillId="0" borderId="2" xfId="0" applyFont="1" applyBorder="1" applyAlignment="1">
      <alignment vertical="top" wrapText="1"/>
    </xf>
    <xf numFmtId="0" fontId="13" fillId="0" borderId="2" xfId="0" applyFont="1" applyBorder="1" applyAlignment="1">
      <alignment vertical="top" wrapText="1"/>
    </xf>
    <xf numFmtId="0" fontId="27" fillId="0" borderId="3" xfId="0" applyFont="1" applyFill="1" applyBorder="1" applyAlignment="1">
      <alignment vertical="center"/>
    </xf>
    <xf numFmtId="0" fontId="0" fillId="0" borderId="3" xfId="0" applyBorder="1" applyAlignment="1">
      <alignment horizontal="center" vertical="center" textRotation="90"/>
    </xf>
    <xf numFmtId="0" fontId="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0" xfId="0" applyFont="1" applyFill="1" applyBorder="1" applyAlignment="1">
      <alignment horizontal="right" vertical="center"/>
    </xf>
    <xf numFmtId="3" fontId="23" fillId="0" borderId="0" xfId="0" applyNumberFormat="1" applyFont="1" applyFill="1" applyBorder="1" applyAlignment="1">
      <alignment horizontal="righ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23" fillId="0" borderId="7" xfId="0" applyFont="1" applyFill="1" applyBorder="1" applyAlignment="1">
      <alignment horizontal="right" vertical="center"/>
    </xf>
    <xf numFmtId="0" fontId="37" fillId="0" borderId="9" xfId="0" applyFont="1" applyFill="1" applyBorder="1" applyAlignment="1">
      <alignment horizontal="center" vertical="top" wrapText="1"/>
    </xf>
    <xf numFmtId="0" fontId="37" fillId="0" borderId="6" xfId="0" applyFont="1" applyFill="1" applyBorder="1" applyAlignment="1">
      <alignment horizontal="center" vertical="top" wrapText="1"/>
    </xf>
    <xf numFmtId="0" fontId="1" fillId="8" borderId="3" xfId="20" applyFont="1" applyFill="1" applyBorder="1" applyAlignment="1">
      <alignment horizontal="center"/>
      <protection/>
    </xf>
    <xf numFmtId="0" fontId="1" fillId="8" borderId="0" xfId="20" applyFont="1" applyFill="1" applyBorder="1">
      <alignment/>
      <protection/>
    </xf>
    <xf numFmtId="0" fontId="17" fillId="8" borderId="0" xfId="20" applyFont="1" applyFill="1" applyBorder="1">
      <alignment/>
      <protection/>
    </xf>
    <xf numFmtId="0" fontId="1" fillId="8" borderId="0" xfId="20" applyFont="1" applyFill="1" applyBorder="1" applyAlignment="1">
      <alignment horizontal="center"/>
      <protection/>
    </xf>
    <xf numFmtId="0" fontId="1" fillId="8" borderId="0" xfId="20" applyFont="1" applyFill="1" applyBorder="1" applyAlignment="1">
      <alignment/>
      <protection/>
    </xf>
    <xf numFmtId="0" fontId="1" fillId="8" borderId="0" xfId="20" applyFill="1" applyBorder="1" applyAlignment="1">
      <alignment horizontal="center"/>
      <protection/>
    </xf>
    <xf numFmtId="0" fontId="1" fillId="8" borderId="1" xfId="20" applyFont="1" applyFill="1" applyBorder="1" quotePrefix="1">
      <alignment/>
      <protection/>
    </xf>
    <xf numFmtId="0" fontId="1" fillId="0" borderId="0" xfId="20" applyFont="1" applyFill="1" applyBorder="1">
      <alignment/>
      <protection/>
    </xf>
    <xf numFmtId="0" fontId="17" fillId="0" borderId="0" xfId="20" applyFont="1" applyFill="1" applyBorder="1">
      <alignment/>
      <protection/>
    </xf>
    <xf numFmtId="0" fontId="1" fillId="0" borderId="0" xfId="20" applyFont="1" applyFill="1" applyBorder="1" applyAlignment="1">
      <alignment horizontal="center"/>
      <protection/>
    </xf>
    <xf numFmtId="0" fontId="1" fillId="0" borderId="0" xfId="20" applyFont="1" applyFill="1" applyBorder="1" applyAlignment="1" quotePrefix="1">
      <alignment/>
      <protection/>
    </xf>
    <xf numFmtId="0" fontId="1" fillId="0" borderId="0" xfId="20" applyFill="1" applyBorder="1" applyAlignment="1">
      <alignment horizontal="center"/>
      <protection/>
    </xf>
    <xf numFmtId="0" fontId="1" fillId="0" borderId="1" xfId="20" applyFont="1" applyFill="1" applyBorder="1">
      <alignment/>
      <protection/>
    </xf>
  </cellXfs>
  <cellStyles count="9">
    <cellStyle name="Normal" xfId="0"/>
    <cellStyle name="Comma" xfId="15"/>
    <cellStyle name="Comma [0]" xfId="16"/>
    <cellStyle name="Currency [0]" xfId="17"/>
    <cellStyle name="Followed Hyperlink" xfId="18"/>
    <cellStyle name="Hyperlink" xfId="19"/>
    <cellStyle name="Normal_Cleric spell" xfId="20"/>
    <cellStyle name="Percent"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5E69E"/>
      <rgbColor rgb="0000FFFF"/>
      <rgbColor rgb="00800000"/>
      <rgbColor rgb="00008000"/>
      <rgbColor rgb="00000080"/>
      <rgbColor rgb="00808000"/>
      <rgbColor rgb="00800080"/>
      <rgbColor rgb="00008080"/>
      <rgbColor rgb="00C0C0C0"/>
      <rgbColor rgb="00808080"/>
      <rgbColor rgb="00D4E8B0"/>
      <rgbColor rgb="00CAC69C"/>
      <rgbColor rgb="00FFFFCC"/>
      <rgbColor rgb="00CCFFFF"/>
      <rgbColor rgb="00660066"/>
      <rgbColor rgb="00FF8080"/>
      <rgbColor rgb="000066CC"/>
      <rgbColor rgb="00CCCCFF"/>
      <rgbColor rgb="0063891F"/>
      <rgbColor rgb="00006600"/>
      <rgbColor rgb="00FFFF00"/>
      <rgbColor rgb="0000FFFF"/>
      <rgbColor rgb="00800080"/>
      <rgbColor rgb="00800000"/>
      <rgbColor rgb="00008080"/>
      <rgbColor rgb="000000FF"/>
      <rgbColor rgb="0000CCFF"/>
      <rgbColor rgb="00CCFFFF"/>
      <rgbColor rgb="00CCFFCC"/>
      <rgbColor rgb="00FFFF99"/>
      <rgbColor rgb="0099CCFF"/>
      <rgbColor rgb="00A1C53B"/>
      <rgbColor rgb="00C1BA83"/>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5DBC7"/>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25</xdr:row>
      <xdr:rowOff>114300</xdr:rowOff>
    </xdr:from>
    <xdr:to>
      <xdr:col>25</xdr:col>
      <xdr:colOff>219075</xdr:colOff>
      <xdr:row>25</xdr:row>
      <xdr:rowOff>114300</xdr:rowOff>
    </xdr:to>
    <xdr:sp>
      <xdr:nvSpPr>
        <xdr:cNvPr id="1" name="Line 15"/>
        <xdr:cNvSpPr>
          <a:spLocks/>
        </xdr:cNvSpPr>
      </xdr:nvSpPr>
      <xdr:spPr>
        <a:xfrm>
          <a:off x="6715125" y="5505450"/>
          <a:ext cx="5286375"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14</xdr:col>
      <xdr:colOff>85725</xdr:colOff>
      <xdr:row>21</xdr:row>
      <xdr:rowOff>114300</xdr:rowOff>
    </xdr:from>
    <xdr:to>
      <xdr:col>25</xdr:col>
      <xdr:colOff>219075</xdr:colOff>
      <xdr:row>21</xdr:row>
      <xdr:rowOff>114300</xdr:rowOff>
    </xdr:to>
    <xdr:sp>
      <xdr:nvSpPr>
        <xdr:cNvPr id="2" name="Line 16"/>
        <xdr:cNvSpPr>
          <a:spLocks/>
        </xdr:cNvSpPr>
      </xdr:nvSpPr>
      <xdr:spPr>
        <a:xfrm flipV="1">
          <a:off x="6734175" y="4552950"/>
          <a:ext cx="5267325"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0</xdr:col>
      <xdr:colOff>266700</xdr:colOff>
      <xdr:row>43</xdr:row>
      <xdr:rowOff>142875</xdr:rowOff>
    </xdr:from>
    <xdr:to>
      <xdr:col>12</xdr:col>
      <xdr:colOff>85725</xdr:colOff>
      <xdr:row>43</xdr:row>
      <xdr:rowOff>142875</xdr:rowOff>
    </xdr:to>
    <xdr:sp>
      <xdr:nvSpPr>
        <xdr:cNvPr id="3" name="Line 21"/>
        <xdr:cNvSpPr>
          <a:spLocks/>
        </xdr:cNvSpPr>
      </xdr:nvSpPr>
      <xdr:spPr>
        <a:xfrm>
          <a:off x="266700" y="9820275"/>
          <a:ext cx="5534025"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23</xdr:col>
      <xdr:colOff>9525</xdr:colOff>
      <xdr:row>18</xdr:row>
      <xdr:rowOff>0</xdr:rowOff>
    </xdr:from>
    <xdr:to>
      <xdr:col>23</xdr:col>
      <xdr:colOff>66675</xdr:colOff>
      <xdr:row>18</xdr:row>
      <xdr:rowOff>219075</xdr:rowOff>
    </xdr:to>
    <xdr:sp>
      <xdr:nvSpPr>
        <xdr:cNvPr id="4" name="Rectangle 32"/>
        <xdr:cNvSpPr>
          <a:spLocks/>
        </xdr:cNvSpPr>
      </xdr:nvSpPr>
      <xdr:spPr>
        <a:xfrm>
          <a:off x="10858500" y="3724275"/>
          <a:ext cx="57150" cy="219075"/>
        </a:xfrm>
        <a:prstGeom prst="rect">
          <a:avLst/>
        </a:prstGeom>
        <a:solidFill>
          <a:srgbClr val="FFFFFF"/>
        </a:solidFill>
        <a:ln w="9525" cmpd="sng">
          <a:noFill/>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23</xdr:col>
      <xdr:colOff>9525</xdr:colOff>
      <xdr:row>21</xdr:row>
      <xdr:rowOff>190500</xdr:rowOff>
    </xdr:from>
    <xdr:to>
      <xdr:col>23</xdr:col>
      <xdr:colOff>85725</xdr:colOff>
      <xdr:row>22</xdr:row>
      <xdr:rowOff>228600</xdr:rowOff>
    </xdr:to>
    <xdr:sp>
      <xdr:nvSpPr>
        <xdr:cNvPr id="5" name="Rectangle 33"/>
        <xdr:cNvSpPr>
          <a:spLocks/>
        </xdr:cNvSpPr>
      </xdr:nvSpPr>
      <xdr:spPr>
        <a:xfrm>
          <a:off x="10858500" y="4629150"/>
          <a:ext cx="76200" cy="276225"/>
        </a:xfrm>
        <a:prstGeom prst="rect">
          <a:avLst/>
        </a:prstGeom>
        <a:solidFill>
          <a:srgbClr val="FFFFFF"/>
        </a:solidFill>
        <a:ln w="9525" cmpd="sng">
          <a:noFill/>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23</xdr:col>
      <xdr:colOff>0</xdr:colOff>
      <xdr:row>26</xdr:row>
      <xdr:rowOff>0</xdr:rowOff>
    </xdr:from>
    <xdr:to>
      <xdr:col>23</xdr:col>
      <xdr:colOff>66675</xdr:colOff>
      <xdr:row>27</xdr:row>
      <xdr:rowOff>9525</xdr:rowOff>
    </xdr:to>
    <xdr:sp>
      <xdr:nvSpPr>
        <xdr:cNvPr id="6" name="Rectangle 34"/>
        <xdr:cNvSpPr>
          <a:spLocks/>
        </xdr:cNvSpPr>
      </xdr:nvSpPr>
      <xdr:spPr>
        <a:xfrm>
          <a:off x="10848975" y="5629275"/>
          <a:ext cx="66675" cy="247650"/>
        </a:xfrm>
        <a:prstGeom prst="rect">
          <a:avLst/>
        </a:prstGeom>
        <a:solidFill>
          <a:srgbClr val="FFFFFF"/>
        </a:solidFill>
        <a:ln w="9525" cmpd="sng">
          <a:noFill/>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19</xdr:col>
      <xdr:colOff>209550</xdr:colOff>
      <xdr:row>13</xdr:row>
      <xdr:rowOff>190500</xdr:rowOff>
    </xdr:from>
    <xdr:to>
      <xdr:col>25</xdr:col>
      <xdr:colOff>209550</xdr:colOff>
      <xdr:row>13</xdr:row>
      <xdr:rowOff>190500</xdr:rowOff>
    </xdr:to>
    <xdr:sp>
      <xdr:nvSpPr>
        <xdr:cNvPr id="7" name="Line 67"/>
        <xdr:cNvSpPr>
          <a:spLocks/>
        </xdr:cNvSpPr>
      </xdr:nvSpPr>
      <xdr:spPr>
        <a:xfrm>
          <a:off x="9191625" y="2724150"/>
          <a:ext cx="2800350"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14</xdr:col>
      <xdr:colOff>123825</xdr:colOff>
      <xdr:row>29</xdr:row>
      <xdr:rowOff>104775</xdr:rowOff>
    </xdr:from>
    <xdr:to>
      <xdr:col>25</xdr:col>
      <xdr:colOff>247650</xdr:colOff>
      <xdr:row>29</xdr:row>
      <xdr:rowOff>104775</xdr:rowOff>
    </xdr:to>
    <xdr:sp>
      <xdr:nvSpPr>
        <xdr:cNvPr id="8" name="Line 68"/>
        <xdr:cNvSpPr>
          <a:spLocks/>
        </xdr:cNvSpPr>
      </xdr:nvSpPr>
      <xdr:spPr>
        <a:xfrm>
          <a:off x="6772275" y="6448425"/>
          <a:ext cx="5257800"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0</xdr:col>
      <xdr:colOff>28575</xdr:colOff>
      <xdr:row>54</xdr:row>
      <xdr:rowOff>142875</xdr:rowOff>
    </xdr:from>
    <xdr:to>
      <xdr:col>13</xdr:col>
      <xdr:colOff>0</xdr:colOff>
      <xdr:row>55</xdr:row>
      <xdr:rowOff>142875</xdr:rowOff>
    </xdr:to>
    <xdr:sp>
      <xdr:nvSpPr>
        <xdr:cNvPr id="9" name="TextBox 73"/>
        <xdr:cNvSpPr txBox="1">
          <a:spLocks noChangeArrowheads="1"/>
        </xdr:cNvSpPr>
      </xdr:nvSpPr>
      <xdr:spPr>
        <a:xfrm>
          <a:off x="28575" y="12439650"/>
          <a:ext cx="6153150" cy="238125"/>
        </a:xfrm>
        <a:prstGeom prst="rect">
          <a:avLst/>
        </a:prstGeom>
        <a:solidFill>
          <a:srgbClr val="D5E69E"/>
        </a:solidFill>
        <a:ln w="9525" cmpd="sng">
          <a:noFill/>
        </a:ln>
      </xdr:spPr>
      <xdr:txBody>
        <a:bodyPr vertOverflow="clip" wrap="square"/>
        <a:p>
          <a:pPr algn="l">
            <a:defRPr/>
          </a:pPr>
          <a:r>
            <a:rPr lang="en-US" cap="none" sz="1200" b="1" i="0" u="none" baseline="0">
              <a:latin typeface="Arial"/>
              <a:ea typeface="Arial"/>
              <a:cs typeface="Arial"/>
            </a:rPr>
            <a:t>Feats and Extraordinary abilities, </a:t>
          </a:r>
          <a:r>
            <a:rPr lang="en-US" cap="none" sz="1200" b="0" i="1" u="none" baseline="0">
              <a:latin typeface="Arial"/>
              <a:ea typeface="Arial"/>
              <a:cs typeface="Arial"/>
            </a:rPr>
            <a:t>ph.87</a:t>
          </a:r>
          <a:r>
            <a:rPr lang="en-US" cap="none" sz="1200" b="0" i="1" u="none" baseline="0">
              <a:latin typeface="ProseAntique"/>
              <a:ea typeface="ProseAntique"/>
              <a:cs typeface="ProseAntique"/>
            </a:rPr>
            <a:t>
</a:t>
          </a:r>
        </a:p>
      </xdr:txBody>
    </xdr:sp>
    <xdr:clientData/>
  </xdr:twoCellAnchor>
  <xdr:twoCellAnchor>
    <xdr:from>
      <xdr:col>0</xdr:col>
      <xdr:colOff>0</xdr:colOff>
      <xdr:row>7</xdr:row>
      <xdr:rowOff>114300</xdr:rowOff>
    </xdr:from>
    <xdr:to>
      <xdr:col>4</xdr:col>
      <xdr:colOff>0</xdr:colOff>
      <xdr:row>8</xdr:row>
      <xdr:rowOff>123825</xdr:rowOff>
    </xdr:to>
    <xdr:sp>
      <xdr:nvSpPr>
        <xdr:cNvPr id="10" name="TextBox 74"/>
        <xdr:cNvSpPr txBox="1">
          <a:spLocks noChangeArrowheads="1"/>
        </xdr:cNvSpPr>
      </xdr:nvSpPr>
      <xdr:spPr>
        <a:xfrm>
          <a:off x="0" y="1228725"/>
          <a:ext cx="1971675" cy="238125"/>
        </a:xfrm>
        <a:prstGeom prst="rect">
          <a:avLst/>
        </a:prstGeom>
        <a:solidFill>
          <a:srgbClr val="D5E69E"/>
        </a:solidFill>
        <a:ln w="9525" cmpd="sng">
          <a:noFill/>
        </a:ln>
      </xdr:spPr>
      <xdr:txBody>
        <a:bodyPr vertOverflow="clip" wrap="square"/>
        <a:p>
          <a:pPr algn="l">
            <a:defRPr/>
          </a:pPr>
          <a:r>
            <a:rPr lang="en-US" cap="none" sz="1200" b="1" i="0" u="none" baseline="0">
              <a:latin typeface="Arial"/>
              <a:ea typeface="Arial"/>
              <a:cs typeface="Arial"/>
            </a:rPr>
            <a:t>Basic abilities</a:t>
          </a:r>
          <a:r>
            <a:rPr lang="en-US" cap="none" sz="1200" b="1" i="0" u="none" baseline="0">
              <a:latin typeface="ProseAntique"/>
              <a:ea typeface="ProseAntique"/>
              <a:cs typeface="ProseAntique"/>
            </a:rPr>
            <a:t>
</a:t>
          </a:r>
        </a:p>
      </xdr:txBody>
    </xdr:sp>
    <xdr:clientData/>
  </xdr:twoCellAnchor>
  <xdr:twoCellAnchor>
    <xdr:from>
      <xdr:col>0</xdr:col>
      <xdr:colOff>9525</xdr:colOff>
      <xdr:row>16</xdr:row>
      <xdr:rowOff>142875</xdr:rowOff>
    </xdr:from>
    <xdr:to>
      <xdr:col>13</xdr:col>
      <xdr:colOff>0</xdr:colOff>
      <xdr:row>17</xdr:row>
      <xdr:rowOff>142875</xdr:rowOff>
    </xdr:to>
    <xdr:sp>
      <xdr:nvSpPr>
        <xdr:cNvPr id="11" name="TextBox 75"/>
        <xdr:cNvSpPr txBox="1">
          <a:spLocks noChangeArrowheads="1"/>
        </xdr:cNvSpPr>
      </xdr:nvSpPr>
      <xdr:spPr>
        <a:xfrm>
          <a:off x="9525" y="3390900"/>
          <a:ext cx="6172200" cy="238125"/>
        </a:xfrm>
        <a:prstGeom prst="rect">
          <a:avLst/>
        </a:prstGeom>
        <a:solidFill>
          <a:srgbClr val="D5E69E"/>
        </a:solidFill>
        <a:ln w="9525" cmpd="sng">
          <a:noFill/>
        </a:ln>
      </xdr:spPr>
      <xdr:txBody>
        <a:bodyPr vertOverflow="clip" wrap="square"/>
        <a:p>
          <a:pPr algn="l">
            <a:defRPr/>
          </a:pPr>
          <a:r>
            <a:rPr lang="en-US" cap="none" sz="1200" b="1" i="0" u="none" baseline="0">
              <a:latin typeface="Arial"/>
              <a:ea typeface="Arial"/>
              <a:cs typeface="Arial"/>
            </a:rPr>
            <a:t>Skills, </a:t>
          </a:r>
          <a:r>
            <a:rPr lang="en-US" cap="none" sz="1200" b="0" i="1" u="none" baseline="0">
              <a:latin typeface="Arial"/>
              <a:ea typeface="Arial"/>
              <a:cs typeface="Arial"/>
            </a:rPr>
            <a:t>ph.61</a:t>
          </a:r>
          <a:r>
            <a:rPr lang="en-US" cap="none" sz="1200" b="0" i="1" u="none" baseline="0">
              <a:latin typeface="ProseAntique"/>
              <a:ea typeface="ProseAntique"/>
              <a:cs typeface="ProseAntique"/>
            </a:rPr>
            <a:t>
</a:t>
          </a:r>
        </a:p>
      </xdr:txBody>
    </xdr:sp>
    <xdr:clientData/>
  </xdr:twoCellAnchor>
  <xdr:twoCellAnchor>
    <xdr:from>
      <xdr:col>13</xdr:col>
      <xdr:colOff>409575</xdr:colOff>
      <xdr:row>33</xdr:row>
      <xdr:rowOff>142875</xdr:rowOff>
    </xdr:from>
    <xdr:to>
      <xdr:col>26</xdr:col>
      <xdr:colOff>9525</xdr:colOff>
      <xdr:row>34</xdr:row>
      <xdr:rowOff>161925</xdr:rowOff>
    </xdr:to>
    <xdr:sp>
      <xdr:nvSpPr>
        <xdr:cNvPr id="12" name="TextBox 76"/>
        <xdr:cNvSpPr txBox="1">
          <a:spLocks noChangeArrowheads="1"/>
        </xdr:cNvSpPr>
      </xdr:nvSpPr>
      <xdr:spPr>
        <a:xfrm>
          <a:off x="6591300" y="7439025"/>
          <a:ext cx="5667375" cy="257175"/>
        </a:xfrm>
        <a:prstGeom prst="rect">
          <a:avLst/>
        </a:prstGeom>
        <a:solidFill>
          <a:srgbClr val="D5E69E"/>
        </a:solidFill>
        <a:ln w="9525" cmpd="sng">
          <a:noFill/>
        </a:ln>
      </xdr:spPr>
      <xdr:txBody>
        <a:bodyPr vertOverflow="clip" wrap="square"/>
        <a:p>
          <a:pPr algn="l">
            <a:defRPr/>
          </a:pPr>
          <a:r>
            <a:rPr lang="en-US" cap="none" sz="1200" b="1" i="0" u="none" baseline="0">
              <a:latin typeface="Arial"/>
              <a:ea typeface="Arial"/>
              <a:cs typeface="Arial"/>
            </a:rPr>
            <a:t>Armor </a:t>
          </a:r>
          <a:r>
            <a:rPr lang="en-US" cap="none" sz="1200" b="0" i="1" u="none" baseline="0">
              <a:latin typeface="ProseAntique"/>
              <a:ea typeface="ProseAntique"/>
              <a:cs typeface="ProseAntique"/>
            </a:rPr>
            <a:t>
</a:t>
          </a:r>
        </a:p>
      </xdr:txBody>
    </xdr:sp>
    <xdr:clientData/>
  </xdr:twoCellAnchor>
  <xdr:twoCellAnchor>
    <xdr:from>
      <xdr:col>4</xdr:col>
      <xdr:colOff>457200</xdr:colOff>
      <xdr:row>7</xdr:row>
      <xdr:rowOff>114300</xdr:rowOff>
    </xdr:from>
    <xdr:to>
      <xdr:col>10</xdr:col>
      <xdr:colOff>457200</xdr:colOff>
      <xdr:row>8</xdr:row>
      <xdr:rowOff>142875</xdr:rowOff>
    </xdr:to>
    <xdr:sp>
      <xdr:nvSpPr>
        <xdr:cNvPr id="13" name="TextBox 78"/>
        <xdr:cNvSpPr txBox="1">
          <a:spLocks noChangeArrowheads="1"/>
        </xdr:cNvSpPr>
      </xdr:nvSpPr>
      <xdr:spPr>
        <a:xfrm>
          <a:off x="2428875" y="1228725"/>
          <a:ext cx="2809875" cy="257175"/>
        </a:xfrm>
        <a:prstGeom prst="rect">
          <a:avLst/>
        </a:prstGeom>
        <a:solidFill>
          <a:srgbClr val="D5E69E"/>
        </a:solidFill>
        <a:ln w="9525" cmpd="sng">
          <a:noFill/>
        </a:ln>
      </xdr:spPr>
      <xdr:txBody>
        <a:bodyPr vertOverflow="clip" wrap="square"/>
        <a:p>
          <a:pPr algn="l">
            <a:defRPr/>
          </a:pPr>
          <a:r>
            <a:rPr lang="en-US" cap="none" sz="1200" b="1" i="0" u="none" baseline="0">
              <a:latin typeface="Arial"/>
              <a:ea typeface="Arial"/>
              <a:cs typeface="Arial"/>
            </a:rPr>
            <a:t>Attack </a:t>
          </a:r>
          <a:r>
            <a:rPr lang="en-US" cap="none" sz="1200" b="0" i="1" u="none" baseline="0">
              <a:latin typeface="ProseAntique"/>
              <a:ea typeface="ProseAntique"/>
              <a:cs typeface="ProseAntique"/>
            </a:rPr>
            <a:t>
</a:t>
          </a:r>
        </a:p>
      </xdr:txBody>
    </xdr:sp>
    <xdr:clientData/>
  </xdr:twoCellAnchor>
  <xdr:twoCellAnchor>
    <xdr:from>
      <xdr:col>14</xdr:col>
      <xdr:colOff>0</xdr:colOff>
      <xdr:row>15</xdr:row>
      <xdr:rowOff>114300</xdr:rowOff>
    </xdr:from>
    <xdr:to>
      <xdr:col>25</xdr:col>
      <xdr:colOff>400050</xdr:colOff>
      <xdr:row>16</xdr:row>
      <xdr:rowOff>123825</xdr:rowOff>
    </xdr:to>
    <xdr:sp>
      <xdr:nvSpPr>
        <xdr:cNvPr id="14" name="TextBox 79"/>
        <xdr:cNvSpPr txBox="1">
          <a:spLocks noChangeArrowheads="1"/>
        </xdr:cNvSpPr>
      </xdr:nvSpPr>
      <xdr:spPr>
        <a:xfrm>
          <a:off x="6648450" y="3124200"/>
          <a:ext cx="5534025" cy="247650"/>
        </a:xfrm>
        <a:prstGeom prst="rect">
          <a:avLst/>
        </a:prstGeom>
        <a:solidFill>
          <a:srgbClr val="D5E69E"/>
        </a:solidFill>
        <a:ln w="9525" cmpd="sng">
          <a:noFill/>
        </a:ln>
      </xdr:spPr>
      <xdr:txBody>
        <a:bodyPr vertOverflow="clip" wrap="square"/>
        <a:p>
          <a:pPr algn="l">
            <a:defRPr/>
          </a:pPr>
          <a:r>
            <a:rPr lang="en-US" cap="none" sz="1200" b="1" i="0" u="none" baseline="0"/>
            <a:t>Combat </a:t>
          </a:r>
        </a:p>
      </xdr:txBody>
    </xdr:sp>
    <xdr:clientData/>
  </xdr:twoCellAnchor>
  <xdr:twoCellAnchor>
    <xdr:from>
      <xdr:col>14</xdr:col>
      <xdr:colOff>9525</xdr:colOff>
      <xdr:row>37</xdr:row>
      <xdr:rowOff>123825</xdr:rowOff>
    </xdr:from>
    <xdr:to>
      <xdr:col>25</xdr:col>
      <xdr:colOff>400050</xdr:colOff>
      <xdr:row>38</xdr:row>
      <xdr:rowOff>142875</xdr:rowOff>
    </xdr:to>
    <xdr:sp>
      <xdr:nvSpPr>
        <xdr:cNvPr id="15" name="TextBox 80"/>
        <xdr:cNvSpPr txBox="1">
          <a:spLocks noChangeArrowheads="1"/>
        </xdr:cNvSpPr>
      </xdr:nvSpPr>
      <xdr:spPr>
        <a:xfrm>
          <a:off x="6657975" y="8372475"/>
          <a:ext cx="5524500" cy="257175"/>
        </a:xfrm>
        <a:prstGeom prst="rect">
          <a:avLst/>
        </a:prstGeom>
        <a:solidFill>
          <a:srgbClr val="D5E69E"/>
        </a:solidFill>
        <a:ln w="9525" cmpd="sng">
          <a:noFill/>
        </a:ln>
      </xdr:spPr>
      <xdr:txBody>
        <a:bodyPr vertOverflow="clip" wrap="square"/>
        <a:p>
          <a:pPr algn="l">
            <a:defRPr/>
          </a:pPr>
          <a:r>
            <a:rPr lang="en-US" cap="none" sz="1200" b="1" i="0" u="none" baseline="0">
              <a:latin typeface="Arial"/>
              <a:ea typeface="Arial"/>
              <a:cs typeface="Arial"/>
            </a:rPr>
            <a:t>Encumbrance &amp; move, </a:t>
          </a:r>
          <a:r>
            <a:rPr lang="en-US" cap="none" sz="1200" b="0" i="1" u="none" baseline="0">
              <a:latin typeface="Arial"/>
              <a:ea typeface="Arial"/>
              <a:cs typeface="Arial"/>
            </a:rPr>
            <a:t>ph. 161</a:t>
          </a:r>
          <a:r>
            <a:rPr lang="en-US" cap="none" sz="1200" b="1" i="0" u="none" baseline="0">
              <a:latin typeface="Arial"/>
              <a:ea typeface="Arial"/>
              <a:cs typeface="Arial"/>
            </a:rPr>
            <a:t> </a:t>
          </a:r>
          <a:r>
            <a:rPr lang="en-US" cap="none" sz="1200" b="0" i="1" u="none" baseline="0">
              <a:latin typeface="ProseAntique"/>
              <a:ea typeface="ProseAntique"/>
              <a:cs typeface="ProseAntique"/>
            </a:rPr>
            <a:t>
</a:t>
          </a:r>
        </a:p>
      </xdr:txBody>
    </xdr:sp>
    <xdr:clientData/>
  </xdr:twoCellAnchor>
  <xdr:twoCellAnchor>
    <xdr:from>
      <xdr:col>13</xdr:col>
      <xdr:colOff>457200</xdr:colOff>
      <xdr:row>50</xdr:row>
      <xdr:rowOff>123825</xdr:rowOff>
    </xdr:from>
    <xdr:to>
      <xdr:col>19</xdr:col>
      <xdr:colOff>457200</xdr:colOff>
      <xdr:row>51</xdr:row>
      <xdr:rowOff>152400</xdr:rowOff>
    </xdr:to>
    <xdr:sp>
      <xdr:nvSpPr>
        <xdr:cNvPr id="16" name="TextBox 81"/>
        <xdr:cNvSpPr txBox="1">
          <a:spLocks noChangeArrowheads="1"/>
        </xdr:cNvSpPr>
      </xdr:nvSpPr>
      <xdr:spPr>
        <a:xfrm>
          <a:off x="6638925" y="11468100"/>
          <a:ext cx="2800350" cy="266700"/>
        </a:xfrm>
        <a:prstGeom prst="rect">
          <a:avLst/>
        </a:prstGeom>
        <a:solidFill>
          <a:srgbClr val="D5E69E"/>
        </a:solidFill>
        <a:ln w="9525" cmpd="sng">
          <a:noFill/>
        </a:ln>
      </xdr:spPr>
      <xdr:txBody>
        <a:bodyPr vertOverflow="clip" wrap="square"/>
        <a:p>
          <a:pPr algn="l">
            <a:defRPr/>
          </a:pPr>
          <a:r>
            <a:rPr lang="en-US" cap="none" sz="1200" b="1" i="0" u="none" baseline="0">
              <a:latin typeface="ProseAntique"/>
              <a:ea typeface="ProseAntique"/>
              <a:cs typeface="ProseAntique"/>
            </a:rPr>
            <a:t>
 </a:t>
          </a:r>
          <a:r>
            <a:rPr lang="en-US" cap="none" sz="1200" b="0" i="1" u="none" baseline="0">
              <a:latin typeface="ProseAntique"/>
              <a:ea typeface="ProseAntique"/>
              <a:cs typeface="ProseAntique"/>
            </a:rPr>
            <a:t>
</a:t>
          </a:r>
        </a:p>
      </xdr:txBody>
    </xdr:sp>
    <xdr:clientData/>
  </xdr:twoCellAnchor>
  <xdr:twoCellAnchor>
    <xdr:from>
      <xdr:col>18</xdr:col>
      <xdr:colOff>400050</xdr:colOff>
      <xdr:row>7</xdr:row>
      <xdr:rowOff>104775</xdr:rowOff>
    </xdr:from>
    <xdr:to>
      <xdr:col>26</xdr:col>
      <xdr:colOff>0</xdr:colOff>
      <xdr:row>8</xdr:row>
      <xdr:rowOff>161925</xdr:rowOff>
    </xdr:to>
    <xdr:sp>
      <xdr:nvSpPr>
        <xdr:cNvPr id="17" name="TextBox 82"/>
        <xdr:cNvSpPr txBox="1">
          <a:spLocks noChangeArrowheads="1"/>
        </xdr:cNvSpPr>
      </xdr:nvSpPr>
      <xdr:spPr>
        <a:xfrm>
          <a:off x="8915400" y="1219200"/>
          <a:ext cx="3333750" cy="285750"/>
        </a:xfrm>
        <a:prstGeom prst="rect">
          <a:avLst/>
        </a:prstGeom>
        <a:solidFill>
          <a:srgbClr val="D5E69E"/>
        </a:solidFill>
        <a:ln w="9525" cmpd="sng">
          <a:noFill/>
        </a:ln>
      </xdr:spPr>
      <xdr:txBody>
        <a:bodyPr vertOverflow="clip" wrap="square"/>
        <a:p>
          <a:pPr algn="l">
            <a:defRPr/>
          </a:pPr>
          <a:r>
            <a:rPr lang="en-US" cap="none" sz="1200" b="1" i="0" u="none" baseline="0"/>
            <a:t>AC</a:t>
          </a:r>
        </a:p>
      </xdr:txBody>
    </xdr:sp>
    <xdr:clientData/>
  </xdr:twoCellAnchor>
  <xdr:twoCellAnchor>
    <xdr:from>
      <xdr:col>12</xdr:col>
      <xdr:colOff>28575</xdr:colOff>
      <xdr:row>7</xdr:row>
      <xdr:rowOff>104775</xdr:rowOff>
    </xdr:from>
    <xdr:to>
      <xdr:col>18</xdr:col>
      <xdr:colOff>28575</xdr:colOff>
      <xdr:row>8</xdr:row>
      <xdr:rowOff>142875</xdr:rowOff>
    </xdr:to>
    <xdr:sp>
      <xdr:nvSpPr>
        <xdr:cNvPr id="18" name="TextBox 83"/>
        <xdr:cNvSpPr txBox="1">
          <a:spLocks noChangeArrowheads="1"/>
        </xdr:cNvSpPr>
      </xdr:nvSpPr>
      <xdr:spPr>
        <a:xfrm>
          <a:off x="5743575" y="1219200"/>
          <a:ext cx="2800350" cy="266700"/>
        </a:xfrm>
        <a:prstGeom prst="rect">
          <a:avLst/>
        </a:prstGeom>
        <a:solidFill>
          <a:srgbClr val="D5E69E"/>
        </a:solidFill>
        <a:ln w="9525" cmpd="sng">
          <a:noFill/>
        </a:ln>
      </xdr:spPr>
      <xdr:txBody>
        <a:bodyPr vertOverflow="clip" wrap="square"/>
        <a:p>
          <a:pPr algn="l">
            <a:defRPr/>
          </a:pPr>
          <a:r>
            <a:rPr lang="en-US" cap="none" sz="1200" b="1" i="0" u="none" baseline="0">
              <a:latin typeface="Arial"/>
              <a:ea typeface="Arial"/>
              <a:cs typeface="Arial"/>
            </a:rPr>
            <a:t>Save</a:t>
          </a:r>
          <a:r>
            <a:rPr lang="en-US" cap="none" sz="1200" b="0" i="1" u="none" baseline="0">
              <a:latin typeface="ProseAntique"/>
              <a:ea typeface="ProseAntique"/>
              <a:cs typeface="ProseAntique"/>
            </a:rPr>
            <a:t>
</a:t>
          </a:r>
        </a:p>
      </xdr:txBody>
    </xdr:sp>
    <xdr:clientData/>
  </xdr:twoCellAnchor>
  <xdr:twoCellAnchor>
    <xdr:from>
      <xdr:col>23</xdr:col>
      <xdr:colOff>28575</xdr:colOff>
      <xdr:row>30</xdr:row>
      <xdr:rowOff>0</xdr:rowOff>
    </xdr:from>
    <xdr:to>
      <xdr:col>23</xdr:col>
      <xdr:colOff>95250</xdr:colOff>
      <xdr:row>31</xdr:row>
      <xdr:rowOff>47625</xdr:rowOff>
    </xdr:to>
    <xdr:sp>
      <xdr:nvSpPr>
        <xdr:cNvPr id="19" name="Rectangle 84"/>
        <xdr:cNvSpPr>
          <a:spLocks/>
        </xdr:cNvSpPr>
      </xdr:nvSpPr>
      <xdr:spPr>
        <a:xfrm>
          <a:off x="10877550" y="6581775"/>
          <a:ext cx="66675" cy="285750"/>
        </a:xfrm>
        <a:prstGeom prst="rect">
          <a:avLst/>
        </a:prstGeom>
        <a:solidFill>
          <a:srgbClr val="FFFFFF"/>
        </a:solidFill>
        <a:ln w="9525" cmpd="sng">
          <a:noFill/>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23</xdr:col>
      <xdr:colOff>0</xdr:colOff>
      <xdr:row>29</xdr:row>
      <xdr:rowOff>200025</xdr:rowOff>
    </xdr:from>
    <xdr:to>
      <xdr:col>23</xdr:col>
      <xdr:colOff>66675</xdr:colOff>
      <xdr:row>31</xdr:row>
      <xdr:rowOff>9525</xdr:rowOff>
    </xdr:to>
    <xdr:sp>
      <xdr:nvSpPr>
        <xdr:cNvPr id="20" name="Rectangle 96"/>
        <xdr:cNvSpPr>
          <a:spLocks/>
        </xdr:cNvSpPr>
      </xdr:nvSpPr>
      <xdr:spPr>
        <a:xfrm>
          <a:off x="10848975" y="6543675"/>
          <a:ext cx="66675" cy="285750"/>
        </a:xfrm>
        <a:prstGeom prst="rect">
          <a:avLst/>
        </a:prstGeom>
        <a:solidFill>
          <a:srgbClr val="FFFFFF"/>
        </a:solidFill>
        <a:ln w="9525" cmpd="sng">
          <a:noFill/>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0</xdr:col>
      <xdr:colOff>0</xdr:colOff>
      <xdr:row>72</xdr:row>
      <xdr:rowOff>104775</xdr:rowOff>
    </xdr:from>
    <xdr:to>
      <xdr:col>25</xdr:col>
      <xdr:colOff>438150</xdr:colOff>
      <xdr:row>73</xdr:row>
      <xdr:rowOff>123825</xdr:rowOff>
    </xdr:to>
    <xdr:sp>
      <xdr:nvSpPr>
        <xdr:cNvPr id="21" name="TextBox 123"/>
        <xdr:cNvSpPr txBox="1">
          <a:spLocks noChangeArrowheads="1"/>
        </xdr:cNvSpPr>
      </xdr:nvSpPr>
      <xdr:spPr>
        <a:xfrm>
          <a:off x="0" y="16640175"/>
          <a:ext cx="12220575" cy="247650"/>
        </a:xfrm>
        <a:prstGeom prst="rect">
          <a:avLst/>
        </a:prstGeom>
        <a:solidFill>
          <a:srgbClr val="D5E69E"/>
        </a:solidFill>
        <a:ln w="9525" cmpd="sng">
          <a:noFill/>
        </a:ln>
      </xdr:spPr>
      <xdr:txBody>
        <a:bodyPr vertOverflow="clip" wrap="square"/>
        <a:p>
          <a:pPr algn="l">
            <a:defRPr/>
          </a:pPr>
          <a:r>
            <a:rPr lang="en-US" cap="none" sz="1200" b="1" i="0" u="none" baseline="0">
              <a:latin typeface="Arial"/>
              <a:ea typeface="Arial"/>
              <a:cs typeface="Arial"/>
            </a:rPr>
            <a:t>Spells
</a:t>
          </a:r>
          <a:r>
            <a:rPr lang="en-US" cap="none" sz="1200" b="1" i="0" u="none" baseline="0">
              <a:latin typeface="ProseAntique"/>
              <a:ea typeface="ProseAntique"/>
              <a:cs typeface="ProseAntique"/>
            </a:rPr>
            <a:t>
 </a:t>
          </a:r>
          <a:r>
            <a:rPr lang="en-US" cap="none" sz="1200" b="0" i="1" u="none" baseline="0">
              <a:latin typeface="ProseAntique"/>
              <a:ea typeface="ProseAntique"/>
              <a:cs typeface="ProseAntique"/>
            </a:rPr>
            <a:t>
</a:t>
          </a:r>
        </a:p>
      </xdr:txBody>
    </xdr:sp>
    <xdr:clientData/>
  </xdr:twoCellAnchor>
  <xdr:twoCellAnchor>
    <xdr:from>
      <xdr:col>24</xdr:col>
      <xdr:colOff>28575</xdr:colOff>
      <xdr:row>78</xdr:row>
      <xdr:rowOff>85725</xdr:rowOff>
    </xdr:from>
    <xdr:to>
      <xdr:col>24</xdr:col>
      <xdr:colOff>400050</xdr:colOff>
      <xdr:row>89</xdr:row>
      <xdr:rowOff>161925</xdr:rowOff>
    </xdr:to>
    <xdr:grpSp>
      <xdr:nvGrpSpPr>
        <xdr:cNvPr id="22" name="Group 124"/>
        <xdr:cNvGrpSpPr>
          <a:grpSpLocks/>
        </xdr:cNvGrpSpPr>
      </xdr:nvGrpSpPr>
      <xdr:grpSpPr>
        <a:xfrm>
          <a:off x="11344275" y="17992725"/>
          <a:ext cx="371475" cy="2590800"/>
          <a:chOff x="388" y="1784"/>
          <a:chExt cx="35" cy="272"/>
        </a:xfrm>
        <a:solidFill>
          <a:srgbClr val="FFFFFF"/>
        </a:solidFill>
      </xdr:grpSpPr>
      <xdr:sp>
        <xdr:nvSpPr>
          <xdr:cNvPr id="23" name="Rectangle 125"/>
          <xdr:cNvSpPr>
            <a:spLocks/>
          </xdr:cNvSpPr>
        </xdr:nvSpPr>
        <xdr:spPr>
          <a:xfrm>
            <a:off x="388" y="1834"/>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24" name="Rectangle 126"/>
          <xdr:cNvSpPr>
            <a:spLocks/>
          </xdr:cNvSpPr>
        </xdr:nvSpPr>
        <xdr:spPr>
          <a:xfrm>
            <a:off x="388" y="1880"/>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25" name="Rectangle 127"/>
          <xdr:cNvSpPr>
            <a:spLocks/>
          </xdr:cNvSpPr>
        </xdr:nvSpPr>
        <xdr:spPr>
          <a:xfrm>
            <a:off x="388" y="1930"/>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26" name="Rectangle 128"/>
          <xdr:cNvSpPr>
            <a:spLocks/>
          </xdr:cNvSpPr>
        </xdr:nvSpPr>
        <xdr:spPr>
          <a:xfrm>
            <a:off x="388" y="1978"/>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27" name="Rectangle 129"/>
          <xdr:cNvSpPr>
            <a:spLocks/>
          </xdr:cNvSpPr>
        </xdr:nvSpPr>
        <xdr:spPr>
          <a:xfrm>
            <a:off x="388" y="2026"/>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28" name="Rectangle 130"/>
          <xdr:cNvSpPr>
            <a:spLocks/>
          </xdr:cNvSpPr>
        </xdr:nvSpPr>
        <xdr:spPr>
          <a:xfrm>
            <a:off x="388" y="1784"/>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grpSp>
    <xdr:clientData/>
  </xdr:twoCellAnchor>
  <xdr:twoCellAnchor>
    <xdr:from>
      <xdr:col>17</xdr:col>
      <xdr:colOff>28575</xdr:colOff>
      <xdr:row>78</xdr:row>
      <xdr:rowOff>85725</xdr:rowOff>
    </xdr:from>
    <xdr:to>
      <xdr:col>17</xdr:col>
      <xdr:colOff>400050</xdr:colOff>
      <xdr:row>89</xdr:row>
      <xdr:rowOff>161925</xdr:rowOff>
    </xdr:to>
    <xdr:grpSp>
      <xdr:nvGrpSpPr>
        <xdr:cNvPr id="29" name="Group 131"/>
        <xdr:cNvGrpSpPr>
          <a:grpSpLocks/>
        </xdr:cNvGrpSpPr>
      </xdr:nvGrpSpPr>
      <xdr:grpSpPr>
        <a:xfrm>
          <a:off x="8077200" y="17992725"/>
          <a:ext cx="371475" cy="2590800"/>
          <a:chOff x="388" y="1784"/>
          <a:chExt cx="35" cy="272"/>
        </a:xfrm>
        <a:solidFill>
          <a:srgbClr val="FFFFFF"/>
        </a:solidFill>
      </xdr:grpSpPr>
      <xdr:sp>
        <xdr:nvSpPr>
          <xdr:cNvPr id="30" name="Rectangle 132"/>
          <xdr:cNvSpPr>
            <a:spLocks/>
          </xdr:cNvSpPr>
        </xdr:nvSpPr>
        <xdr:spPr>
          <a:xfrm>
            <a:off x="388" y="1834"/>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31" name="Rectangle 133"/>
          <xdr:cNvSpPr>
            <a:spLocks/>
          </xdr:cNvSpPr>
        </xdr:nvSpPr>
        <xdr:spPr>
          <a:xfrm>
            <a:off x="388" y="1880"/>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32" name="Rectangle 134"/>
          <xdr:cNvSpPr>
            <a:spLocks/>
          </xdr:cNvSpPr>
        </xdr:nvSpPr>
        <xdr:spPr>
          <a:xfrm>
            <a:off x="388" y="1930"/>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33" name="Rectangle 135"/>
          <xdr:cNvSpPr>
            <a:spLocks/>
          </xdr:cNvSpPr>
        </xdr:nvSpPr>
        <xdr:spPr>
          <a:xfrm>
            <a:off x="388" y="1978"/>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34" name="Rectangle 136"/>
          <xdr:cNvSpPr>
            <a:spLocks/>
          </xdr:cNvSpPr>
        </xdr:nvSpPr>
        <xdr:spPr>
          <a:xfrm>
            <a:off x="388" y="2026"/>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35" name="Rectangle 137"/>
          <xdr:cNvSpPr>
            <a:spLocks/>
          </xdr:cNvSpPr>
        </xdr:nvSpPr>
        <xdr:spPr>
          <a:xfrm>
            <a:off x="388" y="1784"/>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grpSp>
    <xdr:clientData/>
  </xdr:twoCellAnchor>
  <xdr:twoCellAnchor>
    <xdr:from>
      <xdr:col>9</xdr:col>
      <xdr:colOff>28575</xdr:colOff>
      <xdr:row>78</xdr:row>
      <xdr:rowOff>85725</xdr:rowOff>
    </xdr:from>
    <xdr:to>
      <xdr:col>9</xdr:col>
      <xdr:colOff>400050</xdr:colOff>
      <xdr:row>89</xdr:row>
      <xdr:rowOff>161925</xdr:rowOff>
    </xdr:to>
    <xdr:grpSp>
      <xdr:nvGrpSpPr>
        <xdr:cNvPr id="36" name="Group 138"/>
        <xdr:cNvGrpSpPr>
          <a:grpSpLocks/>
        </xdr:cNvGrpSpPr>
      </xdr:nvGrpSpPr>
      <xdr:grpSpPr>
        <a:xfrm>
          <a:off x="4333875" y="17992725"/>
          <a:ext cx="371475" cy="2590800"/>
          <a:chOff x="388" y="1784"/>
          <a:chExt cx="35" cy="272"/>
        </a:xfrm>
        <a:solidFill>
          <a:srgbClr val="FFFFFF"/>
        </a:solidFill>
      </xdr:grpSpPr>
      <xdr:sp>
        <xdr:nvSpPr>
          <xdr:cNvPr id="37" name="Rectangle 139"/>
          <xdr:cNvSpPr>
            <a:spLocks/>
          </xdr:cNvSpPr>
        </xdr:nvSpPr>
        <xdr:spPr>
          <a:xfrm>
            <a:off x="388" y="1834"/>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38" name="Rectangle 140"/>
          <xdr:cNvSpPr>
            <a:spLocks/>
          </xdr:cNvSpPr>
        </xdr:nvSpPr>
        <xdr:spPr>
          <a:xfrm>
            <a:off x="388" y="1880"/>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39" name="Rectangle 141"/>
          <xdr:cNvSpPr>
            <a:spLocks/>
          </xdr:cNvSpPr>
        </xdr:nvSpPr>
        <xdr:spPr>
          <a:xfrm>
            <a:off x="388" y="1930"/>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40" name="Rectangle 142"/>
          <xdr:cNvSpPr>
            <a:spLocks/>
          </xdr:cNvSpPr>
        </xdr:nvSpPr>
        <xdr:spPr>
          <a:xfrm>
            <a:off x="388" y="1978"/>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41" name="Rectangle 143"/>
          <xdr:cNvSpPr>
            <a:spLocks/>
          </xdr:cNvSpPr>
        </xdr:nvSpPr>
        <xdr:spPr>
          <a:xfrm>
            <a:off x="388" y="2026"/>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sp>
        <xdr:nvSpPr>
          <xdr:cNvPr id="42" name="Rectangle 144"/>
          <xdr:cNvSpPr>
            <a:spLocks/>
          </xdr:cNvSpPr>
        </xdr:nvSpPr>
        <xdr:spPr>
          <a:xfrm>
            <a:off x="388" y="1784"/>
            <a:ext cx="35" cy="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grpSp>
    <xdr:clientData/>
  </xdr:twoCellAnchor>
  <xdr:twoCellAnchor>
    <xdr:from>
      <xdr:col>0</xdr:col>
      <xdr:colOff>0</xdr:colOff>
      <xdr:row>91</xdr:row>
      <xdr:rowOff>152400</xdr:rowOff>
    </xdr:from>
    <xdr:to>
      <xdr:col>12</xdr:col>
      <xdr:colOff>438150</xdr:colOff>
      <xdr:row>92</xdr:row>
      <xdr:rowOff>171450</xdr:rowOff>
    </xdr:to>
    <xdr:sp>
      <xdr:nvSpPr>
        <xdr:cNvPr id="43" name="TextBox 145"/>
        <xdr:cNvSpPr txBox="1">
          <a:spLocks noChangeArrowheads="1"/>
        </xdr:cNvSpPr>
      </xdr:nvSpPr>
      <xdr:spPr>
        <a:xfrm>
          <a:off x="0" y="21031200"/>
          <a:ext cx="6153150" cy="247650"/>
        </a:xfrm>
        <a:prstGeom prst="rect">
          <a:avLst/>
        </a:prstGeom>
        <a:solidFill>
          <a:srgbClr val="D5E69E"/>
        </a:solidFill>
        <a:ln w="9525" cmpd="sng">
          <a:noFill/>
        </a:ln>
      </xdr:spPr>
      <xdr:txBody>
        <a:bodyPr vertOverflow="clip" wrap="square"/>
        <a:p>
          <a:pPr algn="l">
            <a:defRPr/>
          </a:pPr>
          <a:r>
            <a:rPr lang="en-US" cap="none" sz="1200" b="1" i="0" u="none" baseline="0">
              <a:latin typeface="Arial"/>
              <a:ea typeface="Arial"/>
              <a:cs typeface="Arial"/>
            </a:rPr>
            <a:t>Turning Undead, </a:t>
          </a:r>
          <a:r>
            <a:rPr lang="en-US" cap="none" sz="1200" b="0" i="1" u="none" baseline="0">
              <a:latin typeface="Arial"/>
              <a:ea typeface="Arial"/>
              <a:cs typeface="Arial"/>
            </a:rPr>
            <a:t>ph. 33, 159, dmg. 299</a:t>
          </a:r>
          <a:r>
            <a:rPr lang="en-US" cap="none" sz="1200" b="0" i="1" u="none" baseline="0">
              <a:latin typeface="ProseAntique"/>
              <a:ea typeface="ProseAntique"/>
              <a:cs typeface="ProseAntique"/>
            </a:rPr>
            <a:t>
</a:t>
          </a:r>
        </a:p>
      </xdr:txBody>
    </xdr:sp>
    <xdr:clientData/>
  </xdr:twoCellAnchor>
  <xdr:twoCellAnchor>
    <xdr:from>
      <xdr:col>0</xdr:col>
      <xdr:colOff>0</xdr:colOff>
      <xdr:row>113</xdr:row>
      <xdr:rowOff>85725</xdr:rowOff>
    </xdr:from>
    <xdr:to>
      <xdr:col>12</xdr:col>
      <xdr:colOff>457200</xdr:colOff>
      <xdr:row>114</xdr:row>
      <xdr:rowOff>123825</xdr:rowOff>
    </xdr:to>
    <xdr:sp>
      <xdr:nvSpPr>
        <xdr:cNvPr id="44" name="TextBox 146"/>
        <xdr:cNvSpPr txBox="1">
          <a:spLocks noChangeArrowheads="1"/>
        </xdr:cNvSpPr>
      </xdr:nvSpPr>
      <xdr:spPr>
        <a:xfrm>
          <a:off x="0" y="25993725"/>
          <a:ext cx="6172200" cy="266700"/>
        </a:xfrm>
        <a:prstGeom prst="rect">
          <a:avLst/>
        </a:prstGeom>
        <a:solidFill>
          <a:srgbClr val="D5E69E"/>
        </a:solidFill>
        <a:ln w="9525" cmpd="sng">
          <a:noFill/>
        </a:ln>
      </xdr:spPr>
      <xdr:txBody>
        <a:bodyPr vertOverflow="clip" wrap="square"/>
        <a:p>
          <a:pPr algn="l">
            <a:defRPr/>
          </a:pPr>
          <a:r>
            <a:rPr lang="en-US" cap="none" sz="1200" b="1" i="0" u="none" baseline="0">
              <a:latin typeface="ProseAntique"/>
              <a:ea typeface="ProseAntique"/>
              <a:cs typeface="ProseAntique"/>
            </a:rPr>
            <a:t>Heal </a:t>
          </a:r>
          <a:r>
            <a:rPr lang="en-US" cap="none" sz="1000" b="0" i="1" u="none" baseline="0">
              <a:latin typeface="ProseAntique"/>
              <a:ea typeface="ProseAntique"/>
              <a:cs typeface="ProseAntique"/>
            </a:rPr>
            <a:t>ph. 75</a:t>
          </a:r>
        </a:p>
      </xdr:txBody>
    </xdr:sp>
    <xdr:clientData/>
  </xdr:twoCellAnchor>
  <xdr:twoCellAnchor>
    <xdr:from>
      <xdr:col>0</xdr:col>
      <xdr:colOff>0</xdr:colOff>
      <xdr:row>120</xdr:row>
      <xdr:rowOff>114300</xdr:rowOff>
    </xdr:from>
    <xdr:to>
      <xdr:col>12</xdr:col>
      <xdr:colOff>428625</xdr:colOff>
      <xdr:row>121</xdr:row>
      <xdr:rowOff>123825</xdr:rowOff>
    </xdr:to>
    <xdr:sp>
      <xdr:nvSpPr>
        <xdr:cNvPr id="45" name="TextBox 147"/>
        <xdr:cNvSpPr txBox="1">
          <a:spLocks noChangeArrowheads="1"/>
        </xdr:cNvSpPr>
      </xdr:nvSpPr>
      <xdr:spPr>
        <a:xfrm>
          <a:off x="0" y="27622500"/>
          <a:ext cx="6143625" cy="238125"/>
        </a:xfrm>
        <a:prstGeom prst="rect">
          <a:avLst/>
        </a:prstGeom>
        <a:solidFill>
          <a:srgbClr val="D5E69E"/>
        </a:solidFill>
        <a:ln w="9525" cmpd="sng">
          <a:noFill/>
        </a:ln>
      </xdr:spPr>
      <xdr:txBody>
        <a:bodyPr vertOverflow="clip" wrap="square"/>
        <a:p>
          <a:pPr algn="l">
            <a:defRPr/>
          </a:pPr>
          <a:r>
            <a:rPr lang="en-US" cap="none" sz="1200" b="1" i="0" u="none" baseline="0">
              <a:latin typeface="ProseAntique"/>
              <a:ea typeface="ProseAntique"/>
              <a:cs typeface="ProseAntique"/>
            </a:rPr>
            <a:t>Swim </a:t>
          </a:r>
          <a:r>
            <a:rPr lang="en-US" cap="none" sz="1000" b="0" i="1" u="none" baseline="0">
              <a:latin typeface="ProseAntique"/>
              <a:ea typeface="ProseAntique"/>
              <a:cs typeface="ProseAntique"/>
            </a:rPr>
            <a:t>ph. 84 &amp; dmg. 92, 304, sw. 90, 110</a:t>
          </a:r>
        </a:p>
      </xdr:txBody>
    </xdr:sp>
    <xdr:clientData/>
  </xdr:twoCellAnchor>
  <xdr:twoCellAnchor>
    <xdr:from>
      <xdr:col>16</xdr:col>
      <xdr:colOff>38100</xdr:colOff>
      <xdr:row>79</xdr:row>
      <xdr:rowOff>28575</xdr:rowOff>
    </xdr:from>
    <xdr:to>
      <xdr:col>16</xdr:col>
      <xdr:colOff>409575</xdr:colOff>
      <xdr:row>79</xdr:row>
      <xdr:rowOff>200025</xdr:rowOff>
    </xdr:to>
    <xdr:sp>
      <xdr:nvSpPr>
        <xdr:cNvPr id="46" name="Rectangle 162"/>
        <xdr:cNvSpPr>
          <a:spLocks/>
        </xdr:cNvSpPr>
      </xdr:nvSpPr>
      <xdr:spPr>
        <a:xfrm>
          <a:off x="7620000" y="18164175"/>
          <a:ext cx="3714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16</xdr:col>
      <xdr:colOff>38100</xdr:colOff>
      <xdr:row>78</xdr:row>
      <xdr:rowOff>28575</xdr:rowOff>
    </xdr:from>
    <xdr:to>
      <xdr:col>16</xdr:col>
      <xdr:colOff>409575</xdr:colOff>
      <xdr:row>78</xdr:row>
      <xdr:rowOff>200025</xdr:rowOff>
    </xdr:to>
    <xdr:sp>
      <xdr:nvSpPr>
        <xdr:cNvPr id="47" name="Rectangle 163"/>
        <xdr:cNvSpPr>
          <a:spLocks/>
        </xdr:cNvSpPr>
      </xdr:nvSpPr>
      <xdr:spPr>
        <a:xfrm>
          <a:off x="7620000" y="17935575"/>
          <a:ext cx="3714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23</xdr:col>
      <xdr:colOff>57150</xdr:colOff>
      <xdr:row>79</xdr:row>
      <xdr:rowOff>28575</xdr:rowOff>
    </xdr:from>
    <xdr:to>
      <xdr:col>23</xdr:col>
      <xdr:colOff>428625</xdr:colOff>
      <xdr:row>79</xdr:row>
      <xdr:rowOff>200025</xdr:rowOff>
    </xdr:to>
    <xdr:sp>
      <xdr:nvSpPr>
        <xdr:cNvPr id="48" name="Rectangle 164"/>
        <xdr:cNvSpPr>
          <a:spLocks/>
        </xdr:cNvSpPr>
      </xdr:nvSpPr>
      <xdr:spPr>
        <a:xfrm>
          <a:off x="10906125" y="18164175"/>
          <a:ext cx="3714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23</xdr:col>
      <xdr:colOff>57150</xdr:colOff>
      <xdr:row>78</xdr:row>
      <xdr:rowOff>28575</xdr:rowOff>
    </xdr:from>
    <xdr:to>
      <xdr:col>23</xdr:col>
      <xdr:colOff>428625</xdr:colOff>
      <xdr:row>78</xdr:row>
      <xdr:rowOff>200025</xdr:rowOff>
    </xdr:to>
    <xdr:sp>
      <xdr:nvSpPr>
        <xdr:cNvPr id="49" name="Rectangle 165"/>
        <xdr:cNvSpPr>
          <a:spLocks/>
        </xdr:cNvSpPr>
      </xdr:nvSpPr>
      <xdr:spPr>
        <a:xfrm>
          <a:off x="10906125" y="17935575"/>
          <a:ext cx="371475" cy="171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0</xdr:col>
      <xdr:colOff>0</xdr:colOff>
      <xdr:row>132</xdr:row>
      <xdr:rowOff>142875</xdr:rowOff>
    </xdr:from>
    <xdr:to>
      <xdr:col>12</xdr:col>
      <xdr:colOff>428625</xdr:colOff>
      <xdr:row>133</xdr:row>
      <xdr:rowOff>152400</xdr:rowOff>
    </xdr:to>
    <xdr:sp>
      <xdr:nvSpPr>
        <xdr:cNvPr id="50" name="TextBox 166"/>
        <xdr:cNvSpPr txBox="1">
          <a:spLocks noChangeArrowheads="1"/>
        </xdr:cNvSpPr>
      </xdr:nvSpPr>
      <xdr:spPr>
        <a:xfrm>
          <a:off x="0" y="30394275"/>
          <a:ext cx="6143625" cy="238125"/>
        </a:xfrm>
        <a:prstGeom prst="rect">
          <a:avLst/>
        </a:prstGeom>
        <a:solidFill>
          <a:srgbClr val="D5E69E"/>
        </a:solidFill>
        <a:ln w="9525" cmpd="sng">
          <a:noFill/>
        </a:ln>
      </xdr:spPr>
      <xdr:txBody>
        <a:bodyPr vertOverflow="clip" wrap="square"/>
        <a:p>
          <a:pPr algn="l">
            <a:defRPr/>
          </a:pPr>
          <a:r>
            <a:rPr lang="en-US" cap="none" sz="1200" b="1" i="0" u="none" baseline="0">
              <a:latin typeface="ProseAntique"/>
              <a:ea typeface="ProseAntique"/>
              <a:cs typeface="ProseAntique"/>
            </a:rPr>
            <a:t>Kamp i vand </a:t>
          </a:r>
          <a:r>
            <a:rPr lang="en-US" cap="none" sz="1000" b="0" i="1" u="none" baseline="0">
              <a:latin typeface="ProseAntique"/>
              <a:ea typeface="ProseAntique"/>
              <a:cs typeface="ProseAntique"/>
            </a:rPr>
            <a:t>dmg. 92</a:t>
          </a:r>
        </a:p>
      </xdr:txBody>
    </xdr:sp>
    <xdr:clientData/>
  </xdr:twoCellAnchor>
  <xdr:twoCellAnchor>
    <xdr:from>
      <xdr:col>13</xdr:col>
      <xdr:colOff>457200</xdr:colOff>
      <xdr:row>91</xdr:row>
      <xdr:rowOff>152400</xdr:rowOff>
    </xdr:from>
    <xdr:to>
      <xdr:col>25</xdr:col>
      <xdr:colOff>447675</xdr:colOff>
      <xdr:row>92</xdr:row>
      <xdr:rowOff>161925</xdr:rowOff>
    </xdr:to>
    <xdr:sp>
      <xdr:nvSpPr>
        <xdr:cNvPr id="51" name="TextBox 167"/>
        <xdr:cNvSpPr txBox="1">
          <a:spLocks noChangeArrowheads="1"/>
        </xdr:cNvSpPr>
      </xdr:nvSpPr>
      <xdr:spPr>
        <a:xfrm>
          <a:off x="6638925" y="21031200"/>
          <a:ext cx="5591175" cy="238125"/>
        </a:xfrm>
        <a:prstGeom prst="rect">
          <a:avLst/>
        </a:prstGeom>
        <a:solidFill>
          <a:srgbClr val="D5E69E"/>
        </a:solidFill>
        <a:ln w="9525" cmpd="sng">
          <a:noFill/>
        </a:ln>
      </xdr:spPr>
      <xdr:txBody>
        <a:bodyPr vertOverflow="clip" wrap="square"/>
        <a:p>
          <a:pPr algn="l">
            <a:defRPr/>
          </a:pPr>
          <a:r>
            <a:rPr lang="en-US" cap="none" sz="1200" b="1" i="0" u="none" baseline="0">
              <a:latin typeface="ProseAntique"/>
              <a:ea typeface="ProseAntique"/>
              <a:cs typeface="ProseAntique"/>
            </a:rPr>
            <a:t>Div. om magi</a:t>
          </a:r>
        </a:p>
      </xdr:txBody>
    </xdr:sp>
    <xdr:clientData/>
  </xdr:twoCellAnchor>
  <xdr:twoCellAnchor>
    <xdr:from>
      <xdr:col>21</xdr:col>
      <xdr:colOff>371475</xdr:colOff>
      <xdr:row>0</xdr:row>
      <xdr:rowOff>0</xdr:rowOff>
    </xdr:from>
    <xdr:to>
      <xdr:col>24</xdr:col>
      <xdr:colOff>114300</xdr:colOff>
      <xdr:row>9</xdr:row>
      <xdr:rowOff>142875</xdr:rowOff>
    </xdr:to>
    <xdr:grpSp>
      <xdr:nvGrpSpPr>
        <xdr:cNvPr id="52" name="Group 168"/>
        <xdr:cNvGrpSpPr>
          <a:grpSpLocks/>
        </xdr:cNvGrpSpPr>
      </xdr:nvGrpSpPr>
      <xdr:grpSpPr>
        <a:xfrm>
          <a:off x="10287000" y="0"/>
          <a:ext cx="1143000" cy="1724025"/>
          <a:chOff x="5294" y="4788"/>
          <a:chExt cx="1257" cy="2242"/>
        </a:xfrm>
        <a:solidFill>
          <a:srgbClr val="FFFFFF"/>
        </a:solidFill>
      </xdr:grpSpPr>
      <xdr:grpSp>
        <xdr:nvGrpSpPr>
          <xdr:cNvPr id="53" name="Group 169"/>
          <xdr:cNvGrpSpPr>
            <a:grpSpLocks/>
          </xdr:cNvGrpSpPr>
        </xdr:nvGrpSpPr>
        <xdr:grpSpPr>
          <a:xfrm>
            <a:off x="5294" y="4788"/>
            <a:ext cx="1257" cy="2242"/>
            <a:chOff x="5300" y="4794"/>
            <a:chExt cx="1258" cy="2243"/>
          </a:xfrm>
          <a:solidFill>
            <a:srgbClr val="FFFFFF"/>
          </a:solidFill>
        </xdr:grpSpPr>
        <xdr:sp>
          <xdr:nvSpPr>
            <xdr:cNvPr id="54" name="AutoShape 170"/>
            <xdr:cNvSpPr>
              <a:spLocks/>
            </xdr:cNvSpPr>
          </xdr:nvSpPr>
          <xdr:spPr>
            <a:xfrm>
              <a:off x="5300" y="4794"/>
              <a:ext cx="1258" cy="2243"/>
            </a:xfrm>
            <a:custGeom>
              <a:pathLst>
                <a:path h="2990" w="1666">
                  <a:moveTo>
                    <a:pt x="909" y="2984"/>
                  </a:moveTo>
                  <a:cubicBezTo>
                    <a:pt x="979" y="2980"/>
                    <a:pt x="985" y="2976"/>
                    <a:pt x="1058" y="2967"/>
                  </a:cubicBezTo>
                  <a:cubicBezTo>
                    <a:pt x="1111" y="2961"/>
                    <a:pt x="1173" y="2935"/>
                    <a:pt x="1222" y="2910"/>
                  </a:cubicBezTo>
                  <a:cubicBezTo>
                    <a:pt x="1263" y="2889"/>
                    <a:pt x="1292" y="2871"/>
                    <a:pt x="1329" y="2844"/>
                  </a:cubicBezTo>
                  <a:cubicBezTo>
                    <a:pt x="1373" y="2809"/>
                    <a:pt x="1451" y="2738"/>
                    <a:pt x="1488" y="2700"/>
                  </a:cubicBezTo>
                  <a:cubicBezTo>
                    <a:pt x="1522" y="2652"/>
                    <a:pt x="1529" y="2639"/>
                    <a:pt x="1566" y="2579"/>
                  </a:cubicBezTo>
                  <a:cubicBezTo>
                    <a:pt x="1602" y="2479"/>
                    <a:pt x="1600" y="2500"/>
                    <a:pt x="1625" y="2385"/>
                  </a:cubicBezTo>
                  <a:cubicBezTo>
                    <a:pt x="1645" y="2275"/>
                    <a:pt x="1656" y="2246"/>
                    <a:pt x="1662" y="2129"/>
                  </a:cubicBezTo>
                  <a:cubicBezTo>
                    <a:pt x="1666" y="2079"/>
                    <a:pt x="1663" y="1982"/>
                    <a:pt x="1662" y="1933"/>
                  </a:cubicBezTo>
                  <a:cubicBezTo>
                    <a:pt x="1659" y="1860"/>
                    <a:pt x="1650" y="1772"/>
                    <a:pt x="1642" y="1693"/>
                  </a:cubicBezTo>
                  <a:cubicBezTo>
                    <a:pt x="1629" y="1646"/>
                    <a:pt x="1624" y="1580"/>
                    <a:pt x="1619" y="1554"/>
                  </a:cubicBezTo>
                  <a:cubicBezTo>
                    <a:pt x="1609" y="1504"/>
                    <a:pt x="1590" y="1463"/>
                    <a:pt x="1579" y="1414"/>
                  </a:cubicBezTo>
                  <a:cubicBezTo>
                    <a:pt x="1559" y="1343"/>
                    <a:pt x="1509" y="1210"/>
                    <a:pt x="1472" y="1124"/>
                  </a:cubicBezTo>
                  <a:cubicBezTo>
                    <a:pt x="1426" y="1020"/>
                    <a:pt x="1402" y="980"/>
                    <a:pt x="1362" y="890"/>
                  </a:cubicBezTo>
                  <a:cubicBezTo>
                    <a:pt x="1332" y="837"/>
                    <a:pt x="1326" y="825"/>
                    <a:pt x="1309" y="797"/>
                  </a:cubicBezTo>
                  <a:cubicBezTo>
                    <a:pt x="1286" y="757"/>
                    <a:pt x="1286" y="744"/>
                    <a:pt x="1256" y="704"/>
                  </a:cubicBezTo>
                  <a:cubicBezTo>
                    <a:pt x="1212" y="637"/>
                    <a:pt x="1184" y="612"/>
                    <a:pt x="1162" y="577"/>
                  </a:cubicBezTo>
                  <a:cubicBezTo>
                    <a:pt x="1126" y="534"/>
                    <a:pt x="1112" y="509"/>
                    <a:pt x="1078" y="475"/>
                  </a:cubicBezTo>
                  <a:cubicBezTo>
                    <a:pt x="1058" y="457"/>
                    <a:pt x="1033" y="441"/>
                    <a:pt x="1015" y="421"/>
                  </a:cubicBezTo>
                  <a:cubicBezTo>
                    <a:pt x="1005" y="409"/>
                    <a:pt x="1001" y="400"/>
                    <a:pt x="985" y="395"/>
                  </a:cubicBezTo>
                  <a:cubicBezTo>
                    <a:pt x="971" y="375"/>
                    <a:pt x="982" y="390"/>
                    <a:pt x="952" y="364"/>
                  </a:cubicBezTo>
                  <a:cubicBezTo>
                    <a:pt x="954" y="357"/>
                    <a:pt x="966" y="307"/>
                    <a:pt x="966" y="300"/>
                  </a:cubicBezTo>
                  <a:cubicBezTo>
                    <a:pt x="969" y="231"/>
                    <a:pt x="969" y="237"/>
                    <a:pt x="946" y="160"/>
                  </a:cubicBezTo>
                  <a:cubicBezTo>
                    <a:pt x="937" y="132"/>
                    <a:pt x="923" y="86"/>
                    <a:pt x="896" y="67"/>
                  </a:cubicBezTo>
                  <a:cubicBezTo>
                    <a:pt x="880" y="45"/>
                    <a:pt x="855" y="14"/>
                    <a:pt x="833" y="0"/>
                  </a:cubicBezTo>
                  <a:cubicBezTo>
                    <a:pt x="822" y="7"/>
                    <a:pt x="800" y="31"/>
                    <a:pt x="790" y="40"/>
                  </a:cubicBezTo>
                  <a:cubicBezTo>
                    <a:pt x="762" y="65"/>
                    <a:pt x="744" y="84"/>
                    <a:pt x="725" y="125"/>
                  </a:cubicBezTo>
                  <a:cubicBezTo>
                    <a:pt x="707" y="156"/>
                    <a:pt x="699" y="185"/>
                    <a:pt x="690" y="250"/>
                  </a:cubicBezTo>
                  <a:cubicBezTo>
                    <a:pt x="685" y="282"/>
                    <a:pt x="697" y="280"/>
                    <a:pt x="693" y="314"/>
                  </a:cubicBezTo>
                  <a:cubicBezTo>
                    <a:pt x="707" y="344"/>
                    <a:pt x="690" y="326"/>
                    <a:pt x="717" y="367"/>
                  </a:cubicBezTo>
                  <a:cubicBezTo>
                    <a:pt x="674" y="389"/>
                    <a:pt x="670" y="394"/>
                    <a:pt x="610" y="457"/>
                  </a:cubicBezTo>
                  <a:cubicBezTo>
                    <a:pt x="588" y="485"/>
                    <a:pt x="559" y="512"/>
                    <a:pt x="537" y="540"/>
                  </a:cubicBezTo>
                  <a:cubicBezTo>
                    <a:pt x="497" y="590"/>
                    <a:pt x="477" y="612"/>
                    <a:pt x="440" y="664"/>
                  </a:cubicBezTo>
                  <a:cubicBezTo>
                    <a:pt x="429" y="680"/>
                    <a:pt x="378" y="761"/>
                    <a:pt x="370" y="778"/>
                  </a:cubicBezTo>
                  <a:cubicBezTo>
                    <a:pt x="354" y="811"/>
                    <a:pt x="334" y="843"/>
                    <a:pt x="317" y="875"/>
                  </a:cubicBezTo>
                  <a:cubicBezTo>
                    <a:pt x="306" y="896"/>
                    <a:pt x="293" y="912"/>
                    <a:pt x="283" y="934"/>
                  </a:cubicBezTo>
                  <a:cubicBezTo>
                    <a:pt x="264" y="977"/>
                    <a:pt x="254" y="1011"/>
                    <a:pt x="227" y="1050"/>
                  </a:cubicBezTo>
                  <a:cubicBezTo>
                    <a:pt x="201" y="1111"/>
                    <a:pt x="144" y="1235"/>
                    <a:pt x="120" y="1304"/>
                  </a:cubicBezTo>
                  <a:cubicBezTo>
                    <a:pt x="108" y="1350"/>
                    <a:pt x="93" y="1390"/>
                    <a:pt x="67" y="1484"/>
                  </a:cubicBezTo>
                  <a:cubicBezTo>
                    <a:pt x="43" y="1589"/>
                    <a:pt x="27" y="1669"/>
                    <a:pt x="20" y="1774"/>
                  </a:cubicBezTo>
                  <a:cubicBezTo>
                    <a:pt x="7" y="1887"/>
                    <a:pt x="0" y="1930"/>
                    <a:pt x="3" y="2114"/>
                  </a:cubicBezTo>
                  <a:cubicBezTo>
                    <a:pt x="6" y="2149"/>
                    <a:pt x="22" y="2296"/>
                    <a:pt x="30" y="2330"/>
                  </a:cubicBezTo>
                  <a:cubicBezTo>
                    <a:pt x="39" y="2375"/>
                    <a:pt x="39" y="2379"/>
                    <a:pt x="53" y="2420"/>
                  </a:cubicBezTo>
                  <a:cubicBezTo>
                    <a:pt x="62" y="2462"/>
                    <a:pt x="70" y="2482"/>
                    <a:pt x="80" y="2504"/>
                  </a:cubicBezTo>
                  <a:cubicBezTo>
                    <a:pt x="93" y="2532"/>
                    <a:pt x="92" y="2542"/>
                    <a:pt x="107" y="2577"/>
                  </a:cubicBezTo>
                  <a:cubicBezTo>
                    <a:pt x="135" y="2622"/>
                    <a:pt x="148" y="2639"/>
                    <a:pt x="160" y="2657"/>
                  </a:cubicBezTo>
                  <a:cubicBezTo>
                    <a:pt x="198" y="2715"/>
                    <a:pt x="190" y="2704"/>
                    <a:pt x="243" y="2757"/>
                  </a:cubicBezTo>
                  <a:cubicBezTo>
                    <a:pt x="288" y="2797"/>
                    <a:pt x="346" y="2842"/>
                    <a:pt x="397" y="2873"/>
                  </a:cubicBezTo>
                  <a:cubicBezTo>
                    <a:pt x="432" y="2894"/>
                    <a:pt x="477" y="2925"/>
                    <a:pt x="537" y="2946"/>
                  </a:cubicBezTo>
                  <a:cubicBezTo>
                    <a:pt x="597" y="2965"/>
                    <a:pt x="629" y="2963"/>
                    <a:pt x="663" y="2970"/>
                  </a:cubicBezTo>
                  <a:cubicBezTo>
                    <a:pt x="723" y="2977"/>
                    <a:pt x="836" y="2990"/>
                    <a:pt x="909" y="2984"/>
                  </a:cubicBezTo>
                  <a:close/>
                </a:path>
              </a:pathLst>
            </a:custGeom>
            <a:solidFill>
              <a:srgbClr val="96969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55" name="AutoShape 171"/>
            <xdr:cNvSpPr>
              <a:spLocks/>
            </xdr:cNvSpPr>
          </xdr:nvSpPr>
          <xdr:spPr>
            <a:xfrm>
              <a:off x="5787" y="6079"/>
              <a:ext cx="246" cy="337"/>
            </a:xfrm>
            <a:custGeom>
              <a:pathLst>
                <a:path h="449" w="326">
                  <a:moveTo>
                    <a:pt x="0" y="449"/>
                  </a:moveTo>
                  <a:cubicBezTo>
                    <a:pt x="7" y="417"/>
                    <a:pt x="30" y="297"/>
                    <a:pt x="42" y="252"/>
                  </a:cubicBezTo>
                  <a:cubicBezTo>
                    <a:pt x="54" y="207"/>
                    <a:pt x="61" y="203"/>
                    <a:pt x="75" y="176"/>
                  </a:cubicBezTo>
                  <a:cubicBezTo>
                    <a:pt x="89" y="149"/>
                    <a:pt x="100" y="116"/>
                    <a:pt x="123" y="90"/>
                  </a:cubicBezTo>
                  <a:cubicBezTo>
                    <a:pt x="146" y="64"/>
                    <a:pt x="179" y="35"/>
                    <a:pt x="213" y="20"/>
                  </a:cubicBezTo>
                  <a:cubicBezTo>
                    <a:pt x="247" y="5"/>
                    <a:pt x="303" y="4"/>
                    <a:pt x="326" y="0"/>
                  </a:cubicBezTo>
                </a:path>
              </a:pathLst>
            </a:custGeom>
            <a:noFill/>
            <a:ln w="28575" cmpd="sng">
              <a:solidFill>
                <a:srgbClr val="C0C0C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56" name="AutoShape 172"/>
            <xdr:cNvSpPr>
              <a:spLocks/>
            </xdr:cNvSpPr>
          </xdr:nvSpPr>
          <xdr:spPr>
            <a:xfrm>
              <a:off x="5559" y="6414"/>
              <a:ext cx="230" cy="252"/>
            </a:xfrm>
            <a:custGeom>
              <a:pathLst>
                <a:path h="337" w="305">
                  <a:moveTo>
                    <a:pt x="0" y="335"/>
                  </a:moveTo>
                  <a:cubicBezTo>
                    <a:pt x="29" y="337"/>
                    <a:pt x="61" y="337"/>
                    <a:pt x="92" y="323"/>
                  </a:cubicBezTo>
                  <a:cubicBezTo>
                    <a:pt x="123" y="309"/>
                    <a:pt x="160" y="283"/>
                    <a:pt x="188" y="253"/>
                  </a:cubicBezTo>
                  <a:cubicBezTo>
                    <a:pt x="216" y="223"/>
                    <a:pt x="241" y="186"/>
                    <a:pt x="260" y="144"/>
                  </a:cubicBezTo>
                  <a:cubicBezTo>
                    <a:pt x="279" y="102"/>
                    <a:pt x="296" y="30"/>
                    <a:pt x="305" y="0"/>
                  </a:cubicBezTo>
                </a:path>
              </a:pathLst>
            </a:custGeom>
            <a:noFill/>
            <a:ln w="28575" cmpd="sng">
              <a:solidFill>
                <a:srgbClr val="C0C0C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57" name="AutoShape 173"/>
            <xdr:cNvSpPr>
              <a:spLocks/>
            </xdr:cNvSpPr>
          </xdr:nvSpPr>
          <xdr:spPr>
            <a:xfrm>
              <a:off x="6315" y="6488"/>
              <a:ext cx="165" cy="178"/>
            </a:xfrm>
            <a:custGeom>
              <a:pathLst>
                <a:path h="237" w="219">
                  <a:moveTo>
                    <a:pt x="0" y="237"/>
                  </a:moveTo>
                  <a:cubicBezTo>
                    <a:pt x="35" y="228"/>
                    <a:pt x="71" y="219"/>
                    <a:pt x="99" y="201"/>
                  </a:cubicBezTo>
                  <a:cubicBezTo>
                    <a:pt x="127" y="183"/>
                    <a:pt x="148" y="162"/>
                    <a:pt x="168" y="129"/>
                  </a:cubicBezTo>
                  <a:cubicBezTo>
                    <a:pt x="188" y="96"/>
                    <a:pt x="203" y="48"/>
                    <a:pt x="219" y="0"/>
                  </a:cubicBezTo>
                </a:path>
              </a:pathLst>
            </a:custGeom>
            <a:noFill/>
            <a:ln w="28575" cmpd="sng">
              <a:solidFill>
                <a:srgbClr val="C0C0C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58" name="AutoShape 174"/>
            <xdr:cNvSpPr>
              <a:spLocks/>
            </xdr:cNvSpPr>
          </xdr:nvSpPr>
          <xdr:spPr>
            <a:xfrm>
              <a:off x="5802" y="6715"/>
              <a:ext cx="49" cy="140"/>
            </a:xfrm>
            <a:custGeom>
              <a:pathLst>
                <a:path h="186" w="64">
                  <a:moveTo>
                    <a:pt x="16" y="186"/>
                  </a:moveTo>
                  <a:cubicBezTo>
                    <a:pt x="14" y="177"/>
                    <a:pt x="0" y="146"/>
                    <a:pt x="1" y="126"/>
                  </a:cubicBezTo>
                  <a:cubicBezTo>
                    <a:pt x="2" y="106"/>
                    <a:pt x="11" y="87"/>
                    <a:pt x="22" y="66"/>
                  </a:cubicBezTo>
                  <a:cubicBezTo>
                    <a:pt x="33" y="45"/>
                    <a:pt x="55" y="14"/>
                    <a:pt x="64" y="0"/>
                  </a:cubicBezTo>
                </a:path>
              </a:pathLst>
            </a:custGeom>
            <a:noFill/>
            <a:ln w="28575" cmpd="sng">
              <a:solidFill>
                <a:srgbClr val="C0C0C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59" name="AutoShape 175"/>
            <xdr:cNvSpPr>
              <a:spLocks/>
            </xdr:cNvSpPr>
          </xdr:nvSpPr>
          <xdr:spPr>
            <a:xfrm>
              <a:off x="6030" y="6837"/>
              <a:ext cx="255" cy="111"/>
            </a:xfrm>
            <a:custGeom>
              <a:pathLst>
                <a:path h="131" w="251">
                  <a:moveTo>
                    <a:pt x="0" y="131"/>
                  </a:moveTo>
                  <a:cubicBezTo>
                    <a:pt x="18" y="125"/>
                    <a:pt x="83" y="106"/>
                    <a:pt x="114" y="93"/>
                  </a:cubicBezTo>
                  <a:cubicBezTo>
                    <a:pt x="145" y="80"/>
                    <a:pt x="163" y="69"/>
                    <a:pt x="186" y="54"/>
                  </a:cubicBezTo>
                  <a:cubicBezTo>
                    <a:pt x="208" y="39"/>
                    <a:pt x="229" y="19"/>
                    <a:pt x="251" y="0"/>
                  </a:cubicBezTo>
                </a:path>
              </a:pathLst>
            </a:custGeom>
            <a:noFill/>
            <a:ln w="28575" cmpd="sng">
              <a:solidFill>
                <a:srgbClr val="C0C0C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60" name="AutoShape 176"/>
            <xdr:cNvSpPr>
              <a:spLocks/>
            </xdr:cNvSpPr>
          </xdr:nvSpPr>
          <xdr:spPr>
            <a:xfrm>
              <a:off x="5355" y="5082"/>
              <a:ext cx="502" cy="924"/>
            </a:xfrm>
            <a:custGeom>
              <a:pathLst>
                <a:path h="1232" w="665">
                  <a:moveTo>
                    <a:pt x="0" y="1232"/>
                  </a:moveTo>
                  <a:cubicBezTo>
                    <a:pt x="11" y="1185"/>
                    <a:pt x="41" y="1025"/>
                    <a:pt x="66" y="944"/>
                  </a:cubicBezTo>
                  <a:cubicBezTo>
                    <a:pt x="91" y="863"/>
                    <a:pt x="118" y="818"/>
                    <a:pt x="151" y="747"/>
                  </a:cubicBezTo>
                  <a:cubicBezTo>
                    <a:pt x="184" y="676"/>
                    <a:pt x="220" y="596"/>
                    <a:pt x="262" y="518"/>
                  </a:cubicBezTo>
                  <a:cubicBezTo>
                    <a:pt x="304" y="441"/>
                    <a:pt x="354" y="349"/>
                    <a:pt x="401" y="279"/>
                  </a:cubicBezTo>
                  <a:cubicBezTo>
                    <a:pt x="449" y="209"/>
                    <a:pt x="507" y="145"/>
                    <a:pt x="551" y="99"/>
                  </a:cubicBezTo>
                  <a:cubicBezTo>
                    <a:pt x="595" y="53"/>
                    <a:pt x="646" y="16"/>
                    <a:pt x="665" y="0"/>
                  </a:cubicBezTo>
                </a:path>
              </a:pathLst>
            </a:custGeom>
            <a:noFill/>
            <a:ln w="28575" cmpd="sng">
              <a:solidFill>
                <a:srgbClr val="C0C0C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61" name="AutoShape 177"/>
            <xdr:cNvSpPr>
              <a:spLocks/>
            </xdr:cNvSpPr>
          </xdr:nvSpPr>
          <xdr:spPr>
            <a:xfrm>
              <a:off x="5912" y="5363"/>
              <a:ext cx="174" cy="173"/>
            </a:xfrm>
            <a:custGeom>
              <a:pathLst>
                <a:path h="231" w="231">
                  <a:moveTo>
                    <a:pt x="0" y="228"/>
                  </a:moveTo>
                  <a:cubicBezTo>
                    <a:pt x="27" y="229"/>
                    <a:pt x="55" y="231"/>
                    <a:pt x="84" y="222"/>
                  </a:cubicBezTo>
                  <a:cubicBezTo>
                    <a:pt x="113" y="213"/>
                    <a:pt x="151" y="197"/>
                    <a:pt x="174" y="174"/>
                  </a:cubicBezTo>
                  <a:cubicBezTo>
                    <a:pt x="197" y="151"/>
                    <a:pt x="213" y="113"/>
                    <a:pt x="222" y="84"/>
                  </a:cubicBezTo>
                  <a:cubicBezTo>
                    <a:pt x="231" y="55"/>
                    <a:pt x="231" y="27"/>
                    <a:pt x="231" y="0"/>
                  </a:cubicBezTo>
                </a:path>
              </a:pathLst>
            </a:custGeom>
            <a:noFill/>
            <a:ln w="28575" cmpd="sng">
              <a:solidFill>
                <a:srgbClr val="C0C0C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62" name="AutoShape 178"/>
            <xdr:cNvSpPr>
              <a:spLocks/>
            </xdr:cNvSpPr>
          </xdr:nvSpPr>
          <xdr:spPr>
            <a:xfrm>
              <a:off x="5531" y="5480"/>
              <a:ext cx="242" cy="220"/>
            </a:xfrm>
            <a:custGeom>
              <a:pathLst>
                <a:path h="294" w="320">
                  <a:moveTo>
                    <a:pt x="0" y="294"/>
                  </a:moveTo>
                  <a:cubicBezTo>
                    <a:pt x="15" y="274"/>
                    <a:pt x="64" y="206"/>
                    <a:pt x="89" y="174"/>
                  </a:cubicBezTo>
                  <a:cubicBezTo>
                    <a:pt x="115" y="143"/>
                    <a:pt x="132" y="127"/>
                    <a:pt x="155" y="106"/>
                  </a:cubicBezTo>
                  <a:cubicBezTo>
                    <a:pt x="178" y="85"/>
                    <a:pt x="203" y="65"/>
                    <a:pt x="228" y="49"/>
                  </a:cubicBezTo>
                  <a:cubicBezTo>
                    <a:pt x="252" y="33"/>
                    <a:pt x="296" y="14"/>
                    <a:pt x="308" y="7"/>
                  </a:cubicBezTo>
                  <a:cubicBezTo>
                    <a:pt x="320" y="0"/>
                    <a:pt x="304" y="9"/>
                    <a:pt x="303" y="9"/>
                  </a:cubicBezTo>
                </a:path>
              </a:pathLst>
            </a:custGeom>
            <a:noFill/>
            <a:ln w="28575" cmpd="sng">
              <a:solidFill>
                <a:srgbClr val="C0C0C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63" name="AutoShape 179"/>
            <xdr:cNvSpPr>
              <a:spLocks/>
            </xdr:cNvSpPr>
          </xdr:nvSpPr>
          <xdr:spPr>
            <a:xfrm>
              <a:off x="5829" y="5201"/>
              <a:ext cx="92" cy="27"/>
            </a:xfrm>
            <a:custGeom>
              <a:pathLst>
                <a:path h="36" w="120">
                  <a:moveTo>
                    <a:pt x="0" y="36"/>
                  </a:moveTo>
                  <a:cubicBezTo>
                    <a:pt x="21" y="28"/>
                    <a:pt x="43" y="21"/>
                    <a:pt x="63" y="15"/>
                  </a:cubicBezTo>
                  <a:cubicBezTo>
                    <a:pt x="83" y="9"/>
                    <a:pt x="110" y="3"/>
                    <a:pt x="120" y="0"/>
                  </a:cubicBezTo>
                </a:path>
              </a:pathLst>
            </a:custGeom>
            <a:noFill/>
            <a:ln w="28575" cmpd="sng">
              <a:solidFill>
                <a:srgbClr val="C0C0C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64" name="AutoShape 180"/>
            <xdr:cNvSpPr>
              <a:spLocks/>
            </xdr:cNvSpPr>
          </xdr:nvSpPr>
          <xdr:spPr>
            <a:xfrm>
              <a:off x="5968" y="4983"/>
              <a:ext cx="39" cy="99"/>
            </a:xfrm>
            <a:custGeom>
              <a:pathLst>
                <a:path h="132" w="51">
                  <a:moveTo>
                    <a:pt x="0" y="132"/>
                  </a:moveTo>
                  <a:cubicBezTo>
                    <a:pt x="13" y="123"/>
                    <a:pt x="27" y="115"/>
                    <a:pt x="36" y="93"/>
                  </a:cubicBezTo>
                  <a:cubicBezTo>
                    <a:pt x="45" y="71"/>
                    <a:pt x="49" y="17"/>
                    <a:pt x="51" y="0"/>
                  </a:cubicBezTo>
                </a:path>
              </a:pathLst>
            </a:custGeom>
            <a:noFill/>
            <a:ln w="28575" cmpd="sng">
              <a:solidFill>
                <a:srgbClr val="C0C0C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65" name="AutoShape 181"/>
            <xdr:cNvSpPr>
              <a:spLocks/>
            </xdr:cNvSpPr>
          </xdr:nvSpPr>
          <xdr:spPr>
            <a:xfrm>
              <a:off x="5839" y="4818"/>
              <a:ext cx="93" cy="143"/>
            </a:xfrm>
            <a:custGeom>
              <a:pathLst>
                <a:path h="189" w="123">
                  <a:moveTo>
                    <a:pt x="0" y="189"/>
                  </a:moveTo>
                  <a:cubicBezTo>
                    <a:pt x="6" y="157"/>
                    <a:pt x="12" y="126"/>
                    <a:pt x="24" y="102"/>
                  </a:cubicBezTo>
                  <a:cubicBezTo>
                    <a:pt x="36" y="78"/>
                    <a:pt x="56" y="59"/>
                    <a:pt x="72" y="42"/>
                  </a:cubicBezTo>
                  <a:cubicBezTo>
                    <a:pt x="88" y="25"/>
                    <a:pt x="105" y="12"/>
                    <a:pt x="123" y="0"/>
                  </a:cubicBezTo>
                </a:path>
              </a:pathLst>
            </a:custGeom>
            <a:noFill/>
            <a:ln w="15875" cmpd="sng">
              <a:solidFill>
                <a:srgbClr val="C0C0C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66" name="AutoShape 182"/>
            <xdr:cNvSpPr>
              <a:spLocks/>
            </xdr:cNvSpPr>
          </xdr:nvSpPr>
          <xdr:spPr>
            <a:xfrm>
              <a:off x="5395" y="5509"/>
              <a:ext cx="1079" cy="1147"/>
            </a:xfrm>
            <a:custGeom>
              <a:pathLst>
                <a:path h="1529" w="1430">
                  <a:moveTo>
                    <a:pt x="899" y="0"/>
                  </a:moveTo>
                  <a:cubicBezTo>
                    <a:pt x="923" y="6"/>
                    <a:pt x="972" y="44"/>
                    <a:pt x="1002" y="67"/>
                  </a:cubicBezTo>
                  <a:cubicBezTo>
                    <a:pt x="1033" y="89"/>
                    <a:pt x="1043" y="96"/>
                    <a:pt x="1069" y="123"/>
                  </a:cubicBezTo>
                  <a:cubicBezTo>
                    <a:pt x="1096" y="150"/>
                    <a:pt x="1118" y="166"/>
                    <a:pt x="1142" y="196"/>
                  </a:cubicBezTo>
                  <a:cubicBezTo>
                    <a:pt x="1158" y="216"/>
                    <a:pt x="1187" y="251"/>
                    <a:pt x="1199" y="273"/>
                  </a:cubicBezTo>
                  <a:cubicBezTo>
                    <a:pt x="1212" y="295"/>
                    <a:pt x="1254" y="372"/>
                    <a:pt x="1275" y="413"/>
                  </a:cubicBezTo>
                  <a:cubicBezTo>
                    <a:pt x="1310" y="482"/>
                    <a:pt x="1297" y="459"/>
                    <a:pt x="1324" y="522"/>
                  </a:cubicBezTo>
                  <a:cubicBezTo>
                    <a:pt x="1344" y="569"/>
                    <a:pt x="1363" y="643"/>
                    <a:pt x="1370" y="666"/>
                  </a:cubicBezTo>
                  <a:cubicBezTo>
                    <a:pt x="1381" y="710"/>
                    <a:pt x="1387" y="741"/>
                    <a:pt x="1399" y="796"/>
                  </a:cubicBezTo>
                  <a:cubicBezTo>
                    <a:pt x="1411" y="855"/>
                    <a:pt x="1422" y="893"/>
                    <a:pt x="1429" y="996"/>
                  </a:cubicBezTo>
                  <a:cubicBezTo>
                    <a:pt x="1429" y="1099"/>
                    <a:pt x="1430" y="1172"/>
                    <a:pt x="1421" y="1276"/>
                  </a:cubicBezTo>
                  <a:cubicBezTo>
                    <a:pt x="1407" y="1332"/>
                    <a:pt x="1409" y="1326"/>
                    <a:pt x="1398" y="1359"/>
                  </a:cubicBezTo>
                  <a:cubicBezTo>
                    <a:pt x="1377" y="1406"/>
                    <a:pt x="1370" y="1406"/>
                    <a:pt x="1347" y="1446"/>
                  </a:cubicBezTo>
                  <a:cubicBezTo>
                    <a:pt x="1307" y="1479"/>
                    <a:pt x="1292" y="1492"/>
                    <a:pt x="1247" y="1506"/>
                  </a:cubicBezTo>
                  <a:cubicBezTo>
                    <a:pt x="1187" y="1526"/>
                    <a:pt x="1180" y="1529"/>
                    <a:pt x="1117" y="1519"/>
                  </a:cubicBezTo>
                  <a:cubicBezTo>
                    <a:pt x="1044" y="1489"/>
                    <a:pt x="1004" y="1479"/>
                    <a:pt x="967" y="1429"/>
                  </a:cubicBezTo>
                  <a:cubicBezTo>
                    <a:pt x="934" y="1386"/>
                    <a:pt x="944" y="1396"/>
                    <a:pt x="906" y="1339"/>
                  </a:cubicBezTo>
                  <a:cubicBezTo>
                    <a:pt x="874" y="1259"/>
                    <a:pt x="868" y="1244"/>
                    <a:pt x="860" y="1209"/>
                  </a:cubicBezTo>
                  <a:cubicBezTo>
                    <a:pt x="846" y="1181"/>
                    <a:pt x="844" y="1146"/>
                    <a:pt x="840" y="1116"/>
                  </a:cubicBezTo>
                  <a:cubicBezTo>
                    <a:pt x="840" y="1111"/>
                    <a:pt x="845" y="995"/>
                    <a:pt x="870" y="959"/>
                  </a:cubicBezTo>
                  <a:cubicBezTo>
                    <a:pt x="880" y="926"/>
                    <a:pt x="936" y="880"/>
                    <a:pt x="966" y="873"/>
                  </a:cubicBezTo>
                  <a:cubicBezTo>
                    <a:pt x="995" y="874"/>
                    <a:pt x="1025" y="884"/>
                    <a:pt x="1050" y="899"/>
                  </a:cubicBezTo>
                  <a:cubicBezTo>
                    <a:pt x="1072" y="913"/>
                    <a:pt x="1087" y="933"/>
                    <a:pt x="1109" y="949"/>
                  </a:cubicBezTo>
                  <a:cubicBezTo>
                    <a:pt x="1124" y="963"/>
                    <a:pt x="1145" y="1000"/>
                    <a:pt x="1130" y="959"/>
                  </a:cubicBezTo>
                  <a:cubicBezTo>
                    <a:pt x="1133" y="948"/>
                    <a:pt x="1116" y="907"/>
                    <a:pt x="1097" y="876"/>
                  </a:cubicBezTo>
                  <a:cubicBezTo>
                    <a:pt x="1078" y="845"/>
                    <a:pt x="1057" y="797"/>
                    <a:pt x="1016" y="773"/>
                  </a:cubicBezTo>
                  <a:cubicBezTo>
                    <a:pt x="995" y="752"/>
                    <a:pt x="881" y="738"/>
                    <a:pt x="850" y="732"/>
                  </a:cubicBezTo>
                  <a:cubicBezTo>
                    <a:pt x="783" y="726"/>
                    <a:pt x="730" y="747"/>
                    <a:pt x="661" y="786"/>
                  </a:cubicBezTo>
                  <a:cubicBezTo>
                    <a:pt x="621" y="841"/>
                    <a:pt x="621" y="842"/>
                    <a:pt x="568" y="926"/>
                  </a:cubicBezTo>
                  <a:cubicBezTo>
                    <a:pt x="541" y="996"/>
                    <a:pt x="545" y="986"/>
                    <a:pt x="518" y="1076"/>
                  </a:cubicBezTo>
                  <a:cubicBezTo>
                    <a:pt x="511" y="1146"/>
                    <a:pt x="501" y="1149"/>
                    <a:pt x="495" y="1202"/>
                  </a:cubicBezTo>
                  <a:cubicBezTo>
                    <a:pt x="481" y="1256"/>
                    <a:pt x="481" y="1262"/>
                    <a:pt x="458" y="1319"/>
                  </a:cubicBezTo>
                  <a:cubicBezTo>
                    <a:pt x="428" y="1379"/>
                    <a:pt x="435" y="1382"/>
                    <a:pt x="388" y="1426"/>
                  </a:cubicBezTo>
                  <a:cubicBezTo>
                    <a:pt x="373" y="1437"/>
                    <a:pt x="336" y="1492"/>
                    <a:pt x="318" y="1496"/>
                  </a:cubicBezTo>
                  <a:cubicBezTo>
                    <a:pt x="285" y="1511"/>
                    <a:pt x="257" y="1516"/>
                    <a:pt x="201" y="1519"/>
                  </a:cubicBezTo>
                  <a:cubicBezTo>
                    <a:pt x="137" y="1506"/>
                    <a:pt x="130" y="1518"/>
                    <a:pt x="84" y="1462"/>
                  </a:cubicBezTo>
                  <a:cubicBezTo>
                    <a:pt x="46" y="1418"/>
                    <a:pt x="57" y="1422"/>
                    <a:pt x="25" y="1342"/>
                  </a:cubicBezTo>
                  <a:cubicBezTo>
                    <a:pt x="0" y="1216"/>
                    <a:pt x="4" y="1168"/>
                    <a:pt x="7" y="1089"/>
                  </a:cubicBezTo>
                  <a:cubicBezTo>
                    <a:pt x="11" y="1024"/>
                    <a:pt x="14" y="989"/>
                    <a:pt x="27" y="889"/>
                  </a:cubicBezTo>
                  <a:cubicBezTo>
                    <a:pt x="34" y="812"/>
                    <a:pt x="42" y="790"/>
                    <a:pt x="54" y="739"/>
                  </a:cubicBezTo>
                  <a:cubicBezTo>
                    <a:pt x="65" y="677"/>
                    <a:pt x="84" y="622"/>
                    <a:pt x="110" y="549"/>
                  </a:cubicBezTo>
                  <a:cubicBezTo>
                    <a:pt x="160" y="436"/>
                    <a:pt x="155" y="423"/>
                    <a:pt x="190" y="376"/>
                  </a:cubicBezTo>
                  <a:cubicBezTo>
                    <a:pt x="213" y="346"/>
                    <a:pt x="230" y="296"/>
                    <a:pt x="257" y="269"/>
                  </a:cubicBezTo>
                  <a:cubicBezTo>
                    <a:pt x="265" y="241"/>
                    <a:pt x="315" y="182"/>
                    <a:pt x="337" y="166"/>
                  </a:cubicBezTo>
                  <a:cubicBezTo>
                    <a:pt x="369" y="120"/>
                    <a:pt x="400" y="103"/>
                    <a:pt x="444" y="69"/>
                  </a:cubicBezTo>
                  <a:cubicBezTo>
                    <a:pt x="465" y="53"/>
                    <a:pt x="484" y="42"/>
                    <a:pt x="527" y="17"/>
                  </a:cubicBezTo>
                  <a:cubicBezTo>
                    <a:pt x="564" y="46"/>
                    <a:pt x="554" y="42"/>
                    <a:pt x="614" y="67"/>
                  </a:cubicBezTo>
                  <a:cubicBezTo>
                    <a:pt x="657" y="79"/>
                    <a:pt x="689" y="79"/>
                    <a:pt x="710" y="82"/>
                  </a:cubicBezTo>
                  <a:cubicBezTo>
                    <a:pt x="764" y="69"/>
                    <a:pt x="767" y="69"/>
                    <a:pt x="803" y="60"/>
                  </a:cubicBezTo>
                  <a:cubicBezTo>
                    <a:pt x="830" y="42"/>
                    <a:pt x="838" y="35"/>
                    <a:pt x="856" y="30"/>
                  </a:cubicBezTo>
                  <a:cubicBezTo>
                    <a:pt x="872" y="20"/>
                    <a:pt x="888" y="2"/>
                    <a:pt x="899" y="0"/>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67" name="AutoShape 183"/>
            <xdr:cNvSpPr>
              <a:spLocks/>
            </xdr:cNvSpPr>
          </xdr:nvSpPr>
          <xdr:spPr>
            <a:xfrm>
              <a:off x="5787" y="5244"/>
              <a:ext cx="283" cy="273"/>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68" name="AutoShape 184"/>
            <xdr:cNvSpPr>
              <a:spLocks/>
            </xdr:cNvSpPr>
          </xdr:nvSpPr>
          <xdr:spPr>
            <a:xfrm>
              <a:off x="5828" y="5139"/>
              <a:ext cx="196" cy="77"/>
            </a:xfrm>
            <a:custGeom>
              <a:pathLst>
                <a:path h="102" w="260">
                  <a:moveTo>
                    <a:pt x="0" y="96"/>
                  </a:moveTo>
                  <a:cubicBezTo>
                    <a:pt x="23" y="69"/>
                    <a:pt x="45" y="51"/>
                    <a:pt x="66" y="36"/>
                  </a:cubicBezTo>
                  <a:cubicBezTo>
                    <a:pt x="84" y="23"/>
                    <a:pt x="96" y="19"/>
                    <a:pt x="130" y="0"/>
                  </a:cubicBezTo>
                  <a:cubicBezTo>
                    <a:pt x="177" y="12"/>
                    <a:pt x="173" y="9"/>
                    <a:pt x="203" y="29"/>
                  </a:cubicBezTo>
                  <a:cubicBezTo>
                    <a:pt x="226" y="45"/>
                    <a:pt x="240" y="62"/>
                    <a:pt x="260" y="102"/>
                  </a:cubicBezTo>
                  <a:cubicBezTo>
                    <a:pt x="216" y="82"/>
                    <a:pt x="223" y="85"/>
                    <a:pt x="200" y="72"/>
                  </a:cubicBezTo>
                  <a:cubicBezTo>
                    <a:pt x="173" y="69"/>
                    <a:pt x="162" y="63"/>
                    <a:pt x="141" y="63"/>
                  </a:cubicBezTo>
                  <a:cubicBezTo>
                    <a:pt x="120" y="63"/>
                    <a:pt x="90" y="69"/>
                    <a:pt x="73" y="73"/>
                  </a:cubicBezTo>
                  <a:cubicBezTo>
                    <a:pt x="56" y="76"/>
                    <a:pt x="48" y="85"/>
                    <a:pt x="36" y="89"/>
                  </a:cubicBezTo>
                  <a:cubicBezTo>
                    <a:pt x="24" y="93"/>
                    <a:pt x="7" y="95"/>
                    <a:pt x="0" y="96"/>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69" name="AutoShape 185"/>
            <xdr:cNvSpPr>
              <a:spLocks/>
            </xdr:cNvSpPr>
          </xdr:nvSpPr>
          <xdr:spPr>
            <a:xfrm>
              <a:off x="6091" y="5296"/>
              <a:ext cx="247" cy="364"/>
            </a:xfrm>
            <a:custGeom>
              <a:pathLst>
                <a:path h="485" w="328">
                  <a:moveTo>
                    <a:pt x="12" y="210"/>
                  </a:moveTo>
                  <a:cubicBezTo>
                    <a:pt x="18" y="182"/>
                    <a:pt x="25" y="180"/>
                    <a:pt x="35" y="130"/>
                  </a:cubicBezTo>
                  <a:cubicBezTo>
                    <a:pt x="37" y="108"/>
                    <a:pt x="37" y="95"/>
                    <a:pt x="32" y="73"/>
                  </a:cubicBezTo>
                  <a:cubicBezTo>
                    <a:pt x="27" y="51"/>
                    <a:pt x="0" y="8"/>
                    <a:pt x="2" y="0"/>
                  </a:cubicBezTo>
                  <a:cubicBezTo>
                    <a:pt x="28" y="20"/>
                    <a:pt x="26" y="19"/>
                    <a:pt x="42" y="26"/>
                  </a:cubicBezTo>
                  <a:cubicBezTo>
                    <a:pt x="51" y="41"/>
                    <a:pt x="65" y="43"/>
                    <a:pt x="95" y="66"/>
                  </a:cubicBezTo>
                  <a:cubicBezTo>
                    <a:pt x="128" y="100"/>
                    <a:pt x="125" y="96"/>
                    <a:pt x="162" y="133"/>
                  </a:cubicBezTo>
                  <a:cubicBezTo>
                    <a:pt x="183" y="158"/>
                    <a:pt x="192" y="182"/>
                    <a:pt x="205" y="203"/>
                  </a:cubicBezTo>
                  <a:cubicBezTo>
                    <a:pt x="213" y="218"/>
                    <a:pt x="240" y="258"/>
                    <a:pt x="258" y="293"/>
                  </a:cubicBezTo>
                  <a:cubicBezTo>
                    <a:pt x="274" y="329"/>
                    <a:pt x="285" y="340"/>
                    <a:pt x="312" y="416"/>
                  </a:cubicBezTo>
                  <a:cubicBezTo>
                    <a:pt x="322" y="446"/>
                    <a:pt x="328" y="485"/>
                    <a:pt x="325" y="483"/>
                  </a:cubicBezTo>
                  <a:cubicBezTo>
                    <a:pt x="325" y="483"/>
                    <a:pt x="305" y="450"/>
                    <a:pt x="285" y="423"/>
                  </a:cubicBezTo>
                  <a:cubicBezTo>
                    <a:pt x="265" y="390"/>
                    <a:pt x="255" y="383"/>
                    <a:pt x="225" y="353"/>
                  </a:cubicBezTo>
                  <a:cubicBezTo>
                    <a:pt x="189" y="323"/>
                    <a:pt x="182" y="310"/>
                    <a:pt x="138" y="283"/>
                  </a:cubicBezTo>
                  <a:cubicBezTo>
                    <a:pt x="104" y="259"/>
                    <a:pt x="112" y="263"/>
                    <a:pt x="65" y="240"/>
                  </a:cubicBezTo>
                  <a:cubicBezTo>
                    <a:pt x="39" y="223"/>
                    <a:pt x="20" y="215"/>
                    <a:pt x="12" y="210"/>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70" name="AutoShape 186"/>
            <xdr:cNvSpPr>
              <a:spLocks/>
            </xdr:cNvSpPr>
          </xdr:nvSpPr>
          <xdr:spPr>
            <a:xfrm>
              <a:off x="5519" y="5306"/>
              <a:ext cx="240" cy="376"/>
            </a:xfrm>
            <a:custGeom>
              <a:pathLst>
                <a:path h="502" w="318">
                  <a:moveTo>
                    <a:pt x="316" y="227"/>
                  </a:moveTo>
                  <a:cubicBezTo>
                    <a:pt x="310" y="199"/>
                    <a:pt x="303" y="197"/>
                    <a:pt x="293" y="147"/>
                  </a:cubicBezTo>
                  <a:cubicBezTo>
                    <a:pt x="291" y="125"/>
                    <a:pt x="291" y="112"/>
                    <a:pt x="296" y="90"/>
                  </a:cubicBezTo>
                  <a:cubicBezTo>
                    <a:pt x="299" y="66"/>
                    <a:pt x="318" y="8"/>
                    <a:pt x="312" y="0"/>
                  </a:cubicBezTo>
                  <a:cubicBezTo>
                    <a:pt x="286" y="20"/>
                    <a:pt x="277" y="36"/>
                    <a:pt x="261" y="43"/>
                  </a:cubicBezTo>
                  <a:cubicBezTo>
                    <a:pt x="252" y="58"/>
                    <a:pt x="241" y="70"/>
                    <a:pt x="211" y="93"/>
                  </a:cubicBezTo>
                  <a:cubicBezTo>
                    <a:pt x="178" y="127"/>
                    <a:pt x="203" y="113"/>
                    <a:pt x="166" y="150"/>
                  </a:cubicBezTo>
                  <a:cubicBezTo>
                    <a:pt x="145" y="175"/>
                    <a:pt x="136" y="199"/>
                    <a:pt x="123" y="220"/>
                  </a:cubicBezTo>
                  <a:cubicBezTo>
                    <a:pt x="115" y="235"/>
                    <a:pt x="88" y="275"/>
                    <a:pt x="70" y="310"/>
                  </a:cubicBezTo>
                  <a:cubicBezTo>
                    <a:pt x="54" y="346"/>
                    <a:pt x="43" y="357"/>
                    <a:pt x="16" y="433"/>
                  </a:cubicBezTo>
                  <a:cubicBezTo>
                    <a:pt x="6" y="463"/>
                    <a:pt x="0" y="502"/>
                    <a:pt x="3" y="500"/>
                  </a:cubicBezTo>
                  <a:cubicBezTo>
                    <a:pt x="3" y="500"/>
                    <a:pt x="23" y="467"/>
                    <a:pt x="43" y="440"/>
                  </a:cubicBezTo>
                  <a:cubicBezTo>
                    <a:pt x="63" y="407"/>
                    <a:pt x="73" y="400"/>
                    <a:pt x="103" y="370"/>
                  </a:cubicBezTo>
                  <a:cubicBezTo>
                    <a:pt x="139" y="340"/>
                    <a:pt x="146" y="327"/>
                    <a:pt x="190" y="300"/>
                  </a:cubicBezTo>
                  <a:cubicBezTo>
                    <a:pt x="224" y="276"/>
                    <a:pt x="216" y="280"/>
                    <a:pt x="263" y="257"/>
                  </a:cubicBezTo>
                  <a:cubicBezTo>
                    <a:pt x="289" y="240"/>
                    <a:pt x="308" y="232"/>
                    <a:pt x="316" y="22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71" name="AutoShape 187"/>
            <xdr:cNvSpPr>
              <a:spLocks/>
            </xdr:cNvSpPr>
          </xdr:nvSpPr>
          <xdr:spPr>
            <a:xfrm>
              <a:off x="6019" y="6714"/>
              <a:ext cx="251" cy="213"/>
            </a:xfrm>
            <a:custGeom>
              <a:pathLst>
                <a:path h="283" w="333">
                  <a:moveTo>
                    <a:pt x="0" y="0"/>
                  </a:moveTo>
                  <a:cubicBezTo>
                    <a:pt x="41" y="41"/>
                    <a:pt x="60" y="82"/>
                    <a:pt x="70" y="140"/>
                  </a:cubicBezTo>
                  <a:cubicBezTo>
                    <a:pt x="67" y="188"/>
                    <a:pt x="43" y="242"/>
                    <a:pt x="0" y="283"/>
                  </a:cubicBezTo>
                  <a:cubicBezTo>
                    <a:pt x="43" y="282"/>
                    <a:pt x="63" y="276"/>
                    <a:pt x="97" y="266"/>
                  </a:cubicBezTo>
                  <a:cubicBezTo>
                    <a:pt x="126" y="257"/>
                    <a:pt x="184" y="238"/>
                    <a:pt x="213" y="226"/>
                  </a:cubicBezTo>
                  <a:cubicBezTo>
                    <a:pt x="231" y="217"/>
                    <a:pt x="253" y="206"/>
                    <a:pt x="273" y="193"/>
                  </a:cubicBezTo>
                  <a:cubicBezTo>
                    <a:pt x="290" y="181"/>
                    <a:pt x="330" y="163"/>
                    <a:pt x="333" y="149"/>
                  </a:cubicBezTo>
                  <a:cubicBezTo>
                    <a:pt x="329" y="136"/>
                    <a:pt x="306" y="119"/>
                    <a:pt x="293" y="115"/>
                  </a:cubicBezTo>
                  <a:cubicBezTo>
                    <a:pt x="279" y="101"/>
                    <a:pt x="250" y="92"/>
                    <a:pt x="210" y="69"/>
                  </a:cubicBezTo>
                  <a:cubicBezTo>
                    <a:pt x="168" y="56"/>
                    <a:pt x="136" y="40"/>
                    <a:pt x="93" y="29"/>
                  </a:cubicBezTo>
                  <a:cubicBezTo>
                    <a:pt x="54" y="19"/>
                    <a:pt x="47" y="9"/>
                    <a:pt x="0" y="0"/>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72" name="AutoShape 188"/>
            <xdr:cNvSpPr>
              <a:spLocks/>
            </xdr:cNvSpPr>
          </xdr:nvSpPr>
          <xdr:spPr>
            <a:xfrm flipH="1">
              <a:off x="5581" y="6714"/>
              <a:ext cx="251" cy="213"/>
            </a:xfrm>
            <a:custGeom>
              <a:pathLst>
                <a:path h="283" w="333">
                  <a:moveTo>
                    <a:pt x="0" y="0"/>
                  </a:moveTo>
                  <a:cubicBezTo>
                    <a:pt x="41" y="41"/>
                    <a:pt x="60" y="82"/>
                    <a:pt x="70" y="140"/>
                  </a:cubicBezTo>
                  <a:cubicBezTo>
                    <a:pt x="67" y="188"/>
                    <a:pt x="43" y="242"/>
                    <a:pt x="0" y="283"/>
                  </a:cubicBezTo>
                  <a:cubicBezTo>
                    <a:pt x="43" y="282"/>
                    <a:pt x="63" y="276"/>
                    <a:pt x="97" y="266"/>
                  </a:cubicBezTo>
                  <a:cubicBezTo>
                    <a:pt x="126" y="257"/>
                    <a:pt x="184" y="238"/>
                    <a:pt x="213" y="226"/>
                  </a:cubicBezTo>
                  <a:cubicBezTo>
                    <a:pt x="231" y="217"/>
                    <a:pt x="253" y="206"/>
                    <a:pt x="273" y="193"/>
                  </a:cubicBezTo>
                  <a:cubicBezTo>
                    <a:pt x="290" y="181"/>
                    <a:pt x="330" y="163"/>
                    <a:pt x="333" y="149"/>
                  </a:cubicBezTo>
                  <a:cubicBezTo>
                    <a:pt x="329" y="136"/>
                    <a:pt x="306" y="119"/>
                    <a:pt x="293" y="115"/>
                  </a:cubicBezTo>
                  <a:cubicBezTo>
                    <a:pt x="279" y="101"/>
                    <a:pt x="250" y="92"/>
                    <a:pt x="210" y="69"/>
                  </a:cubicBezTo>
                  <a:cubicBezTo>
                    <a:pt x="168" y="56"/>
                    <a:pt x="136" y="40"/>
                    <a:pt x="93" y="29"/>
                  </a:cubicBezTo>
                  <a:cubicBezTo>
                    <a:pt x="54" y="19"/>
                    <a:pt x="47" y="9"/>
                    <a:pt x="0" y="0"/>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73" name="AutoShape 189"/>
            <xdr:cNvSpPr>
              <a:spLocks/>
            </xdr:cNvSpPr>
          </xdr:nvSpPr>
          <xdr:spPr>
            <a:xfrm>
              <a:off x="5857" y="4848"/>
              <a:ext cx="137" cy="226"/>
            </a:xfrm>
            <a:custGeom>
              <a:pathLst>
                <a:path h="301" w="182">
                  <a:moveTo>
                    <a:pt x="91" y="0"/>
                  </a:moveTo>
                  <a:cubicBezTo>
                    <a:pt x="113" y="15"/>
                    <a:pt x="130" y="39"/>
                    <a:pt x="145" y="60"/>
                  </a:cubicBezTo>
                  <a:cubicBezTo>
                    <a:pt x="150" y="76"/>
                    <a:pt x="162" y="106"/>
                    <a:pt x="172" y="120"/>
                  </a:cubicBezTo>
                  <a:cubicBezTo>
                    <a:pt x="181" y="157"/>
                    <a:pt x="182" y="203"/>
                    <a:pt x="168" y="250"/>
                  </a:cubicBezTo>
                  <a:cubicBezTo>
                    <a:pt x="148" y="277"/>
                    <a:pt x="144" y="286"/>
                    <a:pt x="128" y="297"/>
                  </a:cubicBezTo>
                  <a:cubicBezTo>
                    <a:pt x="98" y="297"/>
                    <a:pt x="93" y="301"/>
                    <a:pt x="75" y="297"/>
                  </a:cubicBezTo>
                  <a:cubicBezTo>
                    <a:pt x="48" y="297"/>
                    <a:pt x="29" y="288"/>
                    <a:pt x="18" y="273"/>
                  </a:cubicBezTo>
                  <a:cubicBezTo>
                    <a:pt x="13" y="256"/>
                    <a:pt x="4" y="229"/>
                    <a:pt x="2" y="210"/>
                  </a:cubicBezTo>
                  <a:cubicBezTo>
                    <a:pt x="3" y="184"/>
                    <a:pt x="0" y="179"/>
                    <a:pt x="2" y="153"/>
                  </a:cubicBezTo>
                  <a:cubicBezTo>
                    <a:pt x="7" y="132"/>
                    <a:pt x="12" y="110"/>
                    <a:pt x="32" y="77"/>
                  </a:cubicBezTo>
                  <a:cubicBezTo>
                    <a:pt x="45" y="50"/>
                    <a:pt x="42" y="47"/>
                    <a:pt x="62" y="27"/>
                  </a:cubicBezTo>
                  <a:cubicBezTo>
                    <a:pt x="78" y="17"/>
                    <a:pt x="68" y="13"/>
                    <a:pt x="91" y="0"/>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74" name="AutoShape 190"/>
            <xdr:cNvSpPr>
              <a:spLocks/>
            </xdr:cNvSpPr>
          </xdr:nvSpPr>
          <xdr:spPr>
            <a:xfrm>
              <a:off x="5776" y="6067"/>
              <a:ext cx="274" cy="347"/>
            </a:xfrm>
            <a:custGeom>
              <a:pathLst>
                <a:path h="463" w="363">
                  <a:moveTo>
                    <a:pt x="0" y="463"/>
                  </a:moveTo>
                  <a:cubicBezTo>
                    <a:pt x="8" y="429"/>
                    <a:pt x="35" y="304"/>
                    <a:pt x="48" y="257"/>
                  </a:cubicBezTo>
                  <a:cubicBezTo>
                    <a:pt x="61" y="210"/>
                    <a:pt x="67" y="208"/>
                    <a:pt x="81" y="181"/>
                  </a:cubicBezTo>
                  <a:cubicBezTo>
                    <a:pt x="95" y="154"/>
                    <a:pt x="106" y="121"/>
                    <a:pt x="129" y="95"/>
                  </a:cubicBezTo>
                  <a:cubicBezTo>
                    <a:pt x="152" y="69"/>
                    <a:pt x="187" y="40"/>
                    <a:pt x="220" y="25"/>
                  </a:cubicBezTo>
                  <a:cubicBezTo>
                    <a:pt x="253" y="10"/>
                    <a:pt x="303" y="6"/>
                    <a:pt x="327" y="3"/>
                  </a:cubicBezTo>
                  <a:cubicBezTo>
                    <a:pt x="351" y="0"/>
                    <a:pt x="356" y="6"/>
                    <a:pt x="363" y="7"/>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75" name="AutoShape 191"/>
            <xdr:cNvSpPr>
              <a:spLocks/>
            </xdr:cNvSpPr>
          </xdr:nvSpPr>
          <xdr:spPr>
            <a:xfrm>
              <a:off x="5540" y="6412"/>
              <a:ext cx="237" cy="251"/>
            </a:xfrm>
            <a:custGeom>
              <a:pathLst>
                <a:path h="334" w="313">
                  <a:moveTo>
                    <a:pt x="0" y="326"/>
                  </a:moveTo>
                  <a:cubicBezTo>
                    <a:pt x="16" y="325"/>
                    <a:pt x="69" y="334"/>
                    <a:pt x="102" y="322"/>
                  </a:cubicBezTo>
                  <a:cubicBezTo>
                    <a:pt x="135" y="310"/>
                    <a:pt x="169" y="282"/>
                    <a:pt x="197" y="252"/>
                  </a:cubicBezTo>
                  <a:cubicBezTo>
                    <a:pt x="225" y="222"/>
                    <a:pt x="249" y="185"/>
                    <a:pt x="268" y="144"/>
                  </a:cubicBezTo>
                  <a:cubicBezTo>
                    <a:pt x="287" y="102"/>
                    <a:pt x="304" y="30"/>
                    <a:pt x="313"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76" name="AutoShape 192"/>
            <xdr:cNvSpPr>
              <a:spLocks/>
            </xdr:cNvSpPr>
          </xdr:nvSpPr>
          <xdr:spPr>
            <a:xfrm>
              <a:off x="6301" y="6463"/>
              <a:ext cx="175" cy="198"/>
            </a:xfrm>
            <a:custGeom>
              <a:pathLst>
                <a:path h="264" w="231">
                  <a:moveTo>
                    <a:pt x="0" y="264"/>
                  </a:moveTo>
                  <a:cubicBezTo>
                    <a:pt x="18" y="258"/>
                    <a:pt x="81" y="245"/>
                    <a:pt x="111" y="227"/>
                  </a:cubicBezTo>
                  <a:cubicBezTo>
                    <a:pt x="141" y="209"/>
                    <a:pt x="162" y="181"/>
                    <a:pt x="180" y="154"/>
                  </a:cubicBezTo>
                  <a:cubicBezTo>
                    <a:pt x="198" y="127"/>
                    <a:pt x="214" y="92"/>
                    <a:pt x="222" y="66"/>
                  </a:cubicBezTo>
                  <a:cubicBezTo>
                    <a:pt x="230" y="40"/>
                    <a:pt x="229" y="14"/>
                    <a:pt x="231"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77" name="AutoShape 193"/>
            <xdr:cNvSpPr>
              <a:spLocks/>
            </xdr:cNvSpPr>
          </xdr:nvSpPr>
          <xdr:spPr>
            <a:xfrm>
              <a:off x="5789" y="6713"/>
              <a:ext cx="53" cy="155"/>
            </a:xfrm>
            <a:custGeom>
              <a:pathLst>
                <a:path h="207" w="71">
                  <a:moveTo>
                    <a:pt x="22" y="207"/>
                  </a:moveTo>
                  <a:cubicBezTo>
                    <a:pt x="18" y="194"/>
                    <a:pt x="0" y="153"/>
                    <a:pt x="1" y="130"/>
                  </a:cubicBezTo>
                  <a:cubicBezTo>
                    <a:pt x="2" y="107"/>
                    <a:pt x="16" y="87"/>
                    <a:pt x="28" y="66"/>
                  </a:cubicBezTo>
                  <a:cubicBezTo>
                    <a:pt x="40" y="45"/>
                    <a:pt x="62" y="14"/>
                    <a:pt x="71"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78" name="AutoShape 194"/>
            <xdr:cNvSpPr>
              <a:spLocks/>
            </xdr:cNvSpPr>
          </xdr:nvSpPr>
          <xdr:spPr>
            <a:xfrm>
              <a:off x="6018" y="6831"/>
              <a:ext cx="261" cy="107"/>
            </a:xfrm>
            <a:custGeom>
              <a:pathLst>
                <a:path h="142" w="346">
                  <a:moveTo>
                    <a:pt x="0" y="140"/>
                  </a:moveTo>
                  <a:cubicBezTo>
                    <a:pt x="11" y="139"/>
                    <a:pt x="36" y="142"/>
                    <a:pt x="66" y="136"/>
                  </a:cubicBezTo>
                  <a:cubicBezTo>
                    <a:pt x="96" y="130"/>
                    <a:pt x="145" y="117"/>
                    <a:pt x="178" y="104"/>
                  </a:cubicBezTo>
                  <a:cubicBezTo>
                    <a:pt x="211" y="91"/>
                    <a:pt x="237" y="78"/>
                    <a:pt x="265" y="59"/>
                  </a:cubicBezTo>
                  <a:cubicBezTo>
                    <a:pt x="293" y="43"/>
                    <a:pt x="319" y="21"/>
                    <a:pt x="346"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79" name="AutoShape 195"/>
            <xdr:cNvSpPr>
              <a:spLocks/>
            </xdr:cNvSpPr>
          </xdr:nvSpPr>
          <xdr:spPr>
            <a:xfrm>
              <a:off x="5334" y="5076"/>
              <a:ext cx="516" cy="980"/>
            </a:xfrm>
            <a:custGeom>
              <a:pathLst>
                <a:path h="1306" w="683">
                  <a:moveTo>
                    <a:pt x="0" y="1306"/>
                  </a:moveTo>
                  <a:cubicBezTo>
                    <a:pt x="3" y="1283"/>
                    <a:pt x="7" y="1225"/>
                    <a:pt x="21" y="1165"/>
                  </a:cubicBezTo>
                  <a:cubicBezTo>
                    <a:pt x="35" y="1105"/>
                    <a:pt x="59" y="1014"/>
                    <a:pt x="84" y="944"/>
                  </a:cubicBezTo>
                  <a:cubicBezTo>
                    <a:pt x="109" y="874"/>
                    <a:pt x="136" y="818"/>
                    <a:pt x="169" y="747"/>
                  </a:cubicBezTo>
                  <a:cubicBezTo>
                    <a:pt x="202" y="676"/>
                    <a:pt x="238" y="596"/>
                    <a:pt x="280" y="518"/>
                  </a:cubicBezTo>
                  <a:cubicBezTo>
                    <a:pt x="322" y="441"/>
                    <a:pt x="372" y="349"/>
                    <a:pt x="419" y="279"/>
                  </a:cubicBezTo>
                  <a:cubicBezTo>
                    <a:pt x="467" y="209"/>
                    <a:pt x="525" y="145"/>
                    <a:pt x="569" y="99"/>
                  </a:cubicBezTo>
                  <a:cubicBezTo>
                    <a:pt x="613" y="53"/>
                    <a:pt x="664" y="16"/>
                    <a:pt x="683"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80" name="AutoShape 196"/>
            <xdr:cNvSpPr>
              <a:spLocks/>
            </xdr:cNvSpPr>
          </xdr:nvSpPr>
          <xdr:spPr>
            <a:xfrm>
              <a:off x="5891" y="5352"/>
              <a:ext cx="188" cy="179"/>
            </a:xfrm>
            <a:custGeom>
              <a:pathLst>
                <a:path h="239" w="249">
                  <a:moveTo>
                    <a:pt x="0" y="231"/>
                  </a:moveTo>
                  <a:cubicBezTo>
                    <a:pt x="18" y="231"/>
                    <a:pt x="73" y="239"/>
                    <a:pt x="105" y="231"/>
                  </a:cubicBezTo>
                  <a:cubicBezTo>
                    <a:pt x="138" y="223"/>
                    <a:pt x="171" y="202"/>
                    <a:pt x="193" y="180"/>
                  </a:cubicBezTo>
                  <a:cubicBezTo>
                    <a:pt x="215" y="158"/>
                    <a:pt x="233" y="126"/>
                    <a:pt x="241" y="96"/>
                  </a:cubicBezTo>
                  <a:cubicBezTo>
                    <a:pt x="249" y="66"/>
                    <a:pt x="244" y="20"/>
                    <a:pt x="244"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81" name="AutoShape 197"/>
            <xdr:cNvSpPr>
              <a:spLocks/>
            </xdr:cNvSpPr>
          </xdr:nvSpPr>
          <xdr:spPr>
            <a:xfrm>
              <a:off x="5518" y="5483"/>
              <a:ext cx="249" cy="220"/>
            </a:xfrm>
            <a:custGeom>
              <a:pathLst>
                <a:path h="294" w="330">
                  <a:moveTo>
                    <a:pt x="0" y="294"/>
                  </a:moveTo>
                  <a:cubicBezTo>
                    <a:pt x="12" y="275"/>
                    <a:pt x="48" y="213"/>
                    <a:pt x="75" y="182"/>
                  </a:cubicBezTo>
                  <a:cubicBezTo>
                    <a:pt x="102" y="151"/>
                    <a:pt x="135" y="129"/>
                    <a:pt x="162" y="107"/>
                  </a:cubicBezTo>
                  <a:cubicBezTo>
                    <a:pt x="189" y="85"/>
                    <a:pt x="211" y="66"/>
                    <a:pt x="236" y="50"/>
                  </a:cubicBezTo>
                  <a:cubicBezTo>
                    <a:pt x="261" y="34"/>
                    <a:pt x="304" y="16"/>
                    <a:pt x="317" y="8"/>
                  </a:cubicBezTo>
                  <a:cubicBezTo>
                    <a:pt x="330" y="0"/>
                    <a:pt x="316" y="3"/>
                    <a:pt x="316" y="2"/>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82" name="AutoShape 198"/>
            <xdr:cNvSpPr>
              <a:spLocks/>
            </xdr:cNvSpPr>
          </xdr:nvSpPr>
          <xdr:spPr>
            <a:xfrm>
              <a:off x="5828" y="5196"/>
              <a:ext cx="97" cy="27"/>
            </a:xfrm>
            <a:custGeom>
              <a:pathLst>
                <a:path h="36" w="129">
                  <a:moveTo>
                    <a:pt x="0" y="36"/>
                  </a:moveTo>
                  <a:cubicBezTo>
                    <a:pt x="21" y="28"/>
                    <a:pt x="43" y="21"/>
                    <a:pt x="64" y="15"/>
                  </a:cubicBezTo>
                  <a:cubicBezTo>
                    <a:pt x="85" y="9"/>
                    <a:pt x="116" y="3"/>
                    <a:pt x="129"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83" name="AutoShape 199"/>
            <xdr:cNvSpPr>
              <a:spLocks/>
            </xdr:cNvSpPr>
          </xdr:nvSpPr>
          <xdr:spPr>
            <a:xfrm>
              <a:off x="5957" y="4982"/>
              <a:ext cx="43" cy="97"/>
            </a:xfrm>
            <a:custGeom>
              <a:pathLst>
                <a:path h="130" w="57">
                  <a:moveTo>
                    <a:pt x="0" y="130"/>
                  </a:moveTo>
                  <a:cubicBezTo>
                    <a:pt x="6" y="123"/>
                    <a:pt x="30" y="113"/>
                    <a:pt x="39" y="91"/>
                  </a:cubicBezTo>
                  <a:cubicBezTo>
                    <a:pt x="48" y="69"/>
                    <a:pt x="53" y="19"/>
                    <a:pt x="57"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84" name="AutoShape 200"/>
            <xdr:cNvSpPr>
              <a:spLocks/>
            </xdr:cNvSpPr>
          </xdr:nvSpPr>
          <xdr:spPr>
            <a:xfrm>
              <a:off x="5830" y="4812"/>
              <a:ext cx="100" cy="175"/>
            </a:xfrm>
            <a:custGeom>
              <a:pathLst>
                <a:path h="233" w="132">
                  <a:moveTo>
                    <a:pt x="0" y="233"/>
                  </a:moveTo>
                  <a:cubicBezTo>
                    <a:pt x="1" y="225"/>
                    <a:pt x="1" y="204"/>
                    <a:pt x="6" y="182"/>
                  </a:cubicBezTo>
                  <a:cubicBezTo>
                    <a:pt x="11" y="160"/>
                    <a:pt x="20" y="126"/>
                    <a:pt x="32" y="103"/>
                  </a:cubicBezTo>
                  <a:cubicBezTo>
                    <a:pt x="44" y="80"/>
                    <a:pt x="64" y="59"/>
                    <a:pt x="81" y="42"/>
                  </a:cubicBezTo>
                  <a:cubicBezTo>
                    <a:pt x="97" y="25"/>
                    <a:pt x="114" y="12"/>
                    <a:pt x="132"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85" name="AutoShape 201"/>
            <xdr:cNvSpPr>
              <a:spLocks/>
            </xdr:cNvSpPr>
          </xdr:nvSpPr>
          <xdr:spPr>
            <a:xfrm>
              <a:off x="5780" y="6933"/>
              <a:ext cx="58" cy="3"/>
            </a:xfrm>
            <a:custGeom>
              <a:pathLst>
                <a:path h="4" w="76">
                  <a:moveTo>
                    <a:pt x="76" y="4"/>
                  </a:moveTo>
                  <a:cubicBezTo>
                    <a:pt x="63" y="3"/>
                    <a:pt x="16" y="1"/>
                    <a:pt x="0"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grpSp>
      <xdr:sp>
        <xdr:nvSpPr>
          <xdr:cNvPr id="86" name="AutoShape 202"/>
          <xdr:cNvSpPr>
            <a:spLocks/>
          </xdr:cNvSpPr>
        </xdr:nvSpPr>
        <xdr:spPr>
          <a:xfrm>
            <a:off x="6322" y="5568"/>
            <a:ext cx="17" cy="92"/>
          </a:xfrm>
          <a:custGeom>
            <a:pathLst>
              <a:path h="122" w="22">
                <a:moveTo>
                  <a:pt x="21" y="122"/>
                </a:moveTo>
                <a:cubicBezTo>
                  <a:pt x="21" y="114"/>
                  <a:pt x="22" y="91"/>
                  <a:pt x="18" y="71"/>
                </a:cubicBezTo>
                <a:cubicBezTo>
                  <a:pt x="14" y="51"/>
                  <a:pt x="4" y="15"/>
                  <a:pt x="0"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sp>
        <xdr:nvSpPr>
          <xdr:cNvPr id="87" name="AutoShape 203"/>
          <xdr:cNvSpPr>
            <a:spLocks/>
          </xdr:cNvSpPr>
        </xdr:nvSpPr>
        <xdr:spPr>
          <a:xfrm>
            <a:off x="6202" y="6182"/>
            <a:ext cx="31" cy="36"/>
          </a:xfrm>
          <a:custGeom>
            <a:pathLst>
              <a:path h="48" w="42">
                <a:moveTo>
                  <a:pt x="42" y="48"/>
                </a:moveTo>
                <a:cubicBezTo>
                  <a:pt x="38" y="43"/>
                  <a:pt x="28" y="23"/>
                  <a:pt x="21" y="15"/>
                </a:cubicBezTo>
                <a:cubicBezTo>
                  <a:pt x="14" y="7"/>
                  <a:pt x="6" y="4"/>
                  <a:pt x="0" y="0"/>
                </a:cubicBezTo>
              </a:path>
            </a:pathLst>
          </a:custGeom>
          <a:noFill/>
          <a:ln w="6350" cmpd="sng">
            <a:solidFill>
              <a:srgbClr val="EAEAEA"/>
            </a:solidFill>
            <a:headEnd type="none"/>
            <a:tailEnd type="none"/>
          </a:ln>
        </xdr:spPr>
        <xdr:txBody>
          <a:bodyPr vertOverflow="clip" wrap="square" lIns="91440" tIns="45720" rIns="91440" bIns="45720"/>
          <a:p>
            <a:pPr algn="l">
              <a:defRPr/>
            </a:pPr>
            <a:r>
              <a:rPr lang="en-US" cap="none" u="none" baseline="0">
                <a:latin typeface="ProseAntique"/>
                <a:ea typeface="ProseAntique"/>
                <a:cs typeface="ProseAntique"/>
              </a:rPr>
              <a:t/>
            </a:r>
          </a:p>
        </xdr:txBody>
      </xdr:sp>
    </xdr:grpSp>
    <xdr:clientData/>
  </xdr:twoCellAnchor>
  <xdr:twoCellAnchor>
    <xdr:from>
      <xdr:col>13</xdr:col>
      <xdr:colOff>457200</xdr:colOff>
      <xdr:row>113</xdr:row>
      <xdr:rowOff>85725</xdr:rowOff>
    </xdr:from>
    <xdr:to>
      <xdr:col>26</xdr:col>
      <xdr:colOff>0</xdr:colOff>
      <xdr:row>114</xdr:row>
      <xdr:rowOff>123825</xdr:rowOff>
    </xdr:to>
    <xdr:sp>
      <xdr:nvSpPr>
        <xdr:cNvPr id="88" name="TextBox 210"/>
        <xdr:cNvSpPr txBox="1">
          <a:spLocks noChangeArrowheads="1"/>
        </xdr:cNvSpPr>
      </xdr:nvSpPr>
      <xdr:spPr>
        <a:xfrm>
          <a:off x="6638925" y="25993725"/>
          <a:ext cx="5610225" cy="266700"/>
        </a:xfrm>
        <a:prstGeom prst="rect">
          <a:avLst/>
        </a:prstGeom>
        <a:solidFill>
          <a:srgbClr val="D5E69E"/>
        </a:solidFill>
        <a:ln w="9525" cmpd="sng">
          <a:noFill/>
        </a:ln>
      </xdr:spPr>
      <xdr:txBody>
        <a:bodyPr vertOverflow="clip" wrap="square"/>
        <a:p>
          <a:pPr algn="l">
            <a:defRPr/>
          </a:pPr>
          <a:r>
            <a:rPr lang="en-US" cap="none" sz="1200" b="1" i="0" u="none" baseline="0">
              <a:latin typeface="ProseAntique"/>
              <a:ea typeface="ProseAntique"/>
              <a:cs typeface="ProseAntique"/>
            </a:rPr>
            <a:t>Sømandskab </a:t>
          </a:r>
          <a:r>
            <a:rPr lang="en-US" cap="none" sz="1000" b="0" i="1" u="none" baseline="0">
              <a:latin typeface="ProseAntique"/>
              <a:ea typeface="ProseAntique"/>
              <a:cs typeface="ProseAntique"/>
            </a:rPr>
            <a:t>nye regler  86 - 89, ph. 78, 83 </a:t>
          </a:r>
        </a:p>
      </xdr:txBody>
    </xdr:sp>
    <xdr:clientData/>
  </xdr:twoCellAnchor>
  <xdr:twoCellAnchor>
    <xdr:from>
      <xdr:col>8</xdr:col>
      <xdr:colOff>390525</xdr:colOff>
      <xdr:row>43</xdr:row>
      <xdr:rowOff>219075</xdr:rowOff>
    </xdr:from>
    <xdr:to>
      <xdr:col>9</xdr:col>
      <xdr:colOff>28575</xdr:colOff>
      <xdr:row>47</xdr:row>
      <xdr:rowOff>180975</xdr:rowOff>
    </xdr:to>
    <xdr:sp>
      <xdr:nvSpPr>
        <xdr:cNvPr id="89" name="AutoShape 212"/>
        <xdr:cNvSpPr>
          <a:spLocks/>
        </xdr:cNvSpPr>
      </xdr:nvSpPr>
      <xdr:spPr>
        <a:xfrm>
          <a:off x="4229100" y="9896475"/>
          <a:ext cx="104775"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ProseAntique"/>
              <a:ea typeface="ProseAntique"/>
              <a:cs typeface="ProseAntique"/>
            </a:rPr>
            <a:t/>
          </a:r>
        </a:p>
      </xdr:txBody>
    </xdr:sp>
    <xdr:clientData/>
  </xdr:twoCellAnchor>
  <xdr:twoCellAnchor>
    <xdr:from>
      <xdr:col>0</xdr:col>
      <xdr:colOff>0</xdr:colOff>
      <xdr:row>143</xdr:row>
      <xdr:rowOff>9525</xdr:rowOff>
    </xdr:from>
    <xdr:to>
      <xdr:col>12</xdr:col>
      <xdr:colOff>428625</xdr:colOff>
      <xdr:row>144</xdr:row>
      <xdr:rowOff>19050</xdr:rowOff>
    </xdr:to>
    <xdr:sp>
      <xdr:nvSpPr>
        <xdr:cNvPr id="90" name="TextBox 213"/>
        <xdr:cNvSpPr txBox="1">
          <a:spLocks noChangeArrowheads="1"/>
        </xdr:cNvSpPr>
      </xdr:nvSpPr>
      <xdr:spPr>
        <a:xfrm>
          <a:off x="0" y="32775525"/>
          <a:ext cx="6143625" cy="238125"/>
        </a:xfrm>
        <a:prstGeom prst="rect">
          <a:avLst/>
        </a:prstGeom>
        <a:solidFill>
          <a:srgbClr val="D5E69E"/>
        </a:solidFill>
        <a:ln w="9525" cmpd="sng">
          <a:noFill/>
        </a:ln>
      </xdr:spPr>
      <xdr:txBody>
        <a:bodyPr vertOverflow="clip" wrap="square"/>
        <a:p>
          <a:pPr algn="l">
            <a:defRPr/>
          </a:pPr>
          <a:r>
            <a:rPr lang="en-US" cap="none" sz="1200" b="1" i="0" u="none" baseline="0">
              <a:latin typeface="ProseAntique"/>
              <a:ea typeface="ProseAntique"/>
              <a:cs typeface="ProseAntique"/>
            </a:rPr>
            <a:t>Summon monster </a:t>
          </a:r>
          <a:r>
            <a:rPr lang="en-US" cap="none" sz="1000" b="0" i="1" u="none" baseline="0">
              <a:latin typeface="ProseAntique"/>
              <a:ea typeface="ProseAntique"/>
              <a:cs typeface="ProseAntique"/>
            </a:rPr>
            <a:t>ph 287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209550</xdr:colOff>
      <xdr:row>1</xdr:row>
      <xdr:rowOff>19050</xdr:rowOff>
    </xdr:to>
    <xdr:sp>
      <xdr:nvSpPr>
        <xdr:cNvPr id="1" name="TextBox 1"/>
        <xdr:cNvSpPr txBox="1">
          <a:spLocks noChangeArrowheads="1"/>
        </xdr:cNvSpPr>
      </xdr:nvSpPr>
      <xdr:spPr>
        <a:xfrm>
          <a:off x="0" y="0"/>
          <a:ext cx="13906500" cy="219075"/>
        </a:xfrm>
        <a:prstGeom prst="rect">
          <a:avLst/>
        </a:prstGeom>
        <a:solidFill>
          <a:srgbClr val="D5E69E"/>
        </a:solidFill>
        <a:ln w="9525" cmpd="sng">
          <a:noFill/>
        </a:ln>
      </xdr:spPr>
      <xdr:txBody>
        <a:bodyPr vertOverflow="clip" wrap="square"/>
        <a:p>
          <a:pPr algn="l">
            <a:defRPr/>
          </a:pPr>
          <a:r>
            <a:rPr lang="en-US" cap="none" sz="1200" b="1" i="0" u="none" baseline="0">
              <a:latin typeface="Arial"/>
              <a:ea typeface="Arial"/>
              <a:cs typeface="Arial"/>
            </a:rPr>
            <a:t>Divine Cleric Spells, and domain spells</a:t>
          </a:r>
          <a:r>
            <a:rPr lang="en-US" cap="none" sz="1200" b="1" i="0" u="none" baseline="0">
              <a:latin typeface="ProseAntique"/>
              <a:ea typeface="ProseAntique"/>
              <a:cs typeface="ProseAntique"/>
            </a:rPr>
            <a:t>
</a:t>
          </a:r>
        </a:p>
      </xdr:txBody>
    </xdr:sp>
    <xdr:clientData/>
  </xdr:twoCellAnchor>
  <xdr:twoCellAnchor>
    <xdr:from>
      <xdr:col>0</xdr:col>
      <xdr:colOff>9525</xdr:colOff>
      <xdr:row>0</xdr:row>
      <xdr:rowOff>38100</xdr:rowOff>
    </xdr:from>
    <xdr:to>
      <xdr:col>19</xdr:col>
      <xdr:colOff>0</xdr:colOff>
      <xdr:row>2</xdr:row>
      <xdr:rowOff>9525</xdr:rowOff>
    </xdr:to>
    <xdr:sp>
      <xdr:nvSpPr>
        <xdr:cNvPr id="2" name="TextBox 39"/>
        <xdr:cNvSpPr txBox="1">
          <a:spLocks noChangeArrowheads="1"/>
        </xdr:cNvSpPr>
      </xdr:nvSpPr>
      <xdr:spPr>
        <a:xfrm>
          <a:off x="9525" y="38100"/>
          <a:ext cx="13906500" cy="209550"/>
        </a:xfrm>
        <a:prstGeom prst="rect">
          <a:avLst/>
        </a:prstGeom>
        <a:solidFill>
          <a:srgbClr val="D5E69E"/>
        </a:solidFill>
        <a:ln w="9525" cmpd="sng">
          <a:noFill/>
        </a:ln>
      </xdr:spPr>
      <xdr:txBody>
        <a:bodyPr vertOverflow="clip" wrap="square"/>
        <a:p>
          <a:pPr algn="l">
            <a:defRPr/>
          </a:pPr>
          <a:r>
            <a:rPr lang="en-US" cap="none" sz="1200" b="1" i="0" u="none" baseline="0">
              <a:latin typeface="Arial"/>
              <a:ea typeface="Arial"/>
              <a:cs typeface="Arial"/>
            </a:rPr>
            <a:t>Divine Cleric Spells - og domain spells </a:t>
          </a:r>
          <a:r>
            <a:rPr lang="en-US" cap="none" sz="1000" b="1" i="0" u="none" baseline="0">
              <a:latin typeface="Arial"/>
              <a:ea typeface="Arial"/>
              <a:cs typeface="Arial"/>
            </a:rPr>
            <a:t>(heraf </a:t>
          </a:r>
          <a:r>
            <a:rPr lang="en-US" cap="none" sz="1000" b="1" i="0" u="none" baseline="0">
              <a:solidFill>
                <a:srgbClr val="0000FF"/>
              </a:solidFill>
              <a:latin typeface="Arial"/>
              <a:ea typeface="Arial"/>
              <a:cs typeface="Arial"/>
            </a:rPr>
            <a:t>blå = clr.spells</a:t>
          </a:r>
          <a:r>
            <a:rPr lang="en-US" cap="none" sz="1000" b="1" i="0" u="none" baseline="0">
              <a:latin typeface="Arial"/>
              <a:ea typeface="Arial"/>
              <a:cs typeface="Arial"/>
            </a:rPr>
            <a:t>, </a:t>
          </a:r>
          <a:r>
            <a:rPr lang="en-US" cap="none" sz="1000" b="1" i="0" u="none" baseline="0">
              <a:solidFill>
                <a:srgbClr val="800080"/>
              </a:solidFill>
              <a:latin typeface="Arial"/>
              <a:ea typeface="Arial"/>
              <a:cs typeface="Arial"/>
            </a:rPr>
            <a:t>Lilla = ikke clr.spells</a:t>
          </a:r>
          <a:r>
            <a:rPr lang="en-US" cap="none" sz="1000" b="1" i="0" u="none" baseline="0">
              <a:latin typeface="Arial"/>
              <a:ea typeface="Arial"/>
              <a:cs typeface="Arial"/>
            </a:rPr>
            <a:t>)</a:t>
          </a:r>
          <a:r>
            <a:rPr lang="en-US" cap="none" sz="1200" b="1" i="0" u="none" baseline="0">
              <a:latin typeface="ProseAntique"/>
              <a:ea typeface="ProseAntique"/>
              <a:cs typeface="ProseAntiqu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N168"/>
  <sheetViews>
    <sheetView tabSelected="1" zoomScale="75" zoomScaleNormal="75" workbookViewId="0" topLeftCell="A70">
      <selection activeCell="D46" sqref="D46"/>
    </sheetView>
  </sheetViews>
  <sheetFormatPr defaultColWidth="8.796875" defaultRowHeight="18" customHeight="1"/>
  <cols>
    <col min="1" max="2" width="4.8984375" style="9" customWidth="1"/>
    <col min="3" max="3" width="6" style="9" customWidth="1"/>
    <col min="4" max="9" width="4.8984375" style="9" customWidth="1"/>
    <col min="10" max="10" width="5" style="9" customWidth="1"/>
    <col min="11" max="26" width="4.8984375" style="9" customWidth="1"/>
    <col min="27" max="27" width="1.203125" style="9" customWidth="1"/>
    <col min="28" max="28" width="8.796875" style="9" customWidth="1"/>
    <col min="29" max="29" width="9.8984375" style="9" customWidth="1"/>
    <col min="30" max="30" width="7.796875" style="9" customWidth="1"/>
    <col min="31" max="31" width="13.296875" style="9" customWidth="1"/>
    <col min="32" max="32" width="9.19921875" style="9" customWidth="1"/>
    <col min="33" max="33" width="10.796875" style="9" customWidth="1"/>
    <col min="34" max="16384" width="8.796875" style="9" customWidth="1"/>
  </cols>
  <sheetData>
    <row r="1" spans="1:27" ht="18" customHeight="1">
      <c r="A1" s="58" t="s">
        <v>1215</v>
      </c>
      <c r="B1" s="58"/>
      <c r="C1" s="58"/>
      <c r="D1" s="58"/>
      <c r="E1" s="58"/>
      <c r="F1" s="58"/>
      <c r="G1" s="58"/>
      <c r="H1" s="18"/>
      <c r="I1" s="18"/>
      <c r="J1" s="18"/>
      <c r="K1" s="18"/>
      <c r="L1" s="18"/>
      <c r="M1" s="18"/>
      <c r="N1" s="18"/>
      <c r="O1" s="18"/>
      <c r="P1" s="18"/>
      <c r="Q1" s="18"/>
      <c r="R1" s="18"/>
      <c r="S1" s="18"/>
      <c r="T1" s="18"/>
      <c r="U1" s="18" t="s">
        <v>1216</v>
      </c>
      <c r="V1" s="18"/>
      <c r="W1" s="19"/>
      <c r="X1" s="19"/>
      <c r="Y1" s="19"/>
      <c r="Z1" s="19"/>
      <c r="AA1" s="19"/>
    </row>
    <row r="2" spans="1:28" ht="6.75" customHeight="1">
      <c r="A2" s="19"/>
      <c r="B2" s="19"/>
      <c r="C2" s="19"/>
      <c r="D2" s="19"/>
      <c r="E2" s="19"/>
      <c r="F2" s="19"/>
      <c r="T2" s="19"/>
      <c r="U2" s="19"/>
      <c r="V2" s="19"/>
      <c r="W2" s="19"/>
      <c r="X2" s="19"/>
      <c r="Y2" s="19"/>
      <c r="Z2" s="19"/>
      <c r="AB2" s="19"/>
    </row>
    <row r="3" spans="1:36" ht="18" customHeight="1">
      <c r="A3" s="59" t="s">
        <v>1127</v>
      </c>
      <c r="B3" s="13"/>
      <c r="C3" s="154" t="s">
        <v>1180</v>
      </c>
      <c r="D3" s="13"/>
      <c r="E3" s="386" t="s">
        <v>1128</v>
      </c>
      <c r="F3" s="13"/>
      <c r="G3" s="310" t="s">
        <v>636</v>
      </c>
      <c r="H3" s="1"/>
      <c r="I3" s="62" t="s">
        <v>324</v>
      </c>
      <c r="J3" s="21"/>
      <c r="K3" s="541" t="s">
        <v>150</v>
      </c>
      <c r="L3" s="542"/>
      <c r="M3" s="1"/>
      <c r="N3" s="59" t="s">
        <v>226</v>
      </c>
      <c r="O3" s="510">
        <f>975+720+1020+4800</f>
        <v>7515</v>
      </c>
      <c r="P3" s="511"/>
      <c r="Q3" s="44"/>
      <c r="R3" s="162" t="s">
        <v>227</v>
      </c>
      <c r="S3" s="44"/>
      <c r="T3" s="44"/>
      <c r="U3" s="511">
        <v>10000</v>
      </c>
      <c r="V3" s="543"/>
      <c r="W3" s="23"/>
      <c r="X3" s="23"/>
      <c r="Y3" s="23"/>
      <c r="Z3" s="23"/>
      <c r="AA3" s="1"/>
      <c r="AB3" s="72"/>
      <c r="AC3" s="539"/>
      <c r="AD3" s="539"/>
      <c r="AE3" s="1"/>
      <c r="AF3" s="72"/>
      <c r="AG3" s="1"/>
      <c r="AH3" s="1"/>
      <c r="AI3" s="540"/>
      <c r="AJ3" s="539"/>
    </row>
    <row r="4" spans="1:36" ht="4.5" customHeight="1">
      <c r="A4" s="1"/>
      <c r="B4" s="1"/>
      <c r="C4" s="1"/>
      <c r="D4" s="1"/>
      <c r="E4" s="1"/>
      <c r="F4" s="1"/>
      <c r="G4" s="1"/>
      <c r="H4" s="1"/>
      <c r="I4" s="15"/>
      <c r="J4" s="1"/>
      <c r="K4" s="1"/>
      <c r="L4" s="2"/>
      <c r="M4" s="1"/>
      <c r="S4" s="19"/>
      <c r="T4" s="23"/>
      <c r="U4" s="23"/>
      <c r="V4" s="23"/>
      <c r="W4" s="1"/>
      <c r="X4" s="1"/>
      <c r="Y4" s="1"/>
      <c r="Z4" s="1"/>
      <c r="AB4" s="1"/>
      <c r="AC4" s="1"/>
      <c r="AD4" s="1"/>
      <c r="AE4" s="1"/>
      <c r="AF4" s="1"/>
      <c r="AG4" s="23"/>
      <c r="AH4" s="23"/>
      <c r="AI4" s="23"/>
      <c r="AJ4" s="23"/>
    </row>
    <row r="5" spans="1:36" ht="18" customHeight="1">
      <c r="A5" s="59" t="s">
        <v>322</v>
      </c>
      <c r="B5" s="44"/>
      <c r="C5" s="153" t="s">
        <v>527</v>
      </c>
      <c r="D5" s="44"/>
      <c r="E5" s="44"/>
      <c r="F5" s="44"/>
      <c r="G5" s="63"/>
      <c r="H5" s="23"/>
      <c r="I5" s="167" t="s">
        <v>528</v>
      </c>
      <c r="J5" s="1"/>
      <c r="K5" s="506">
        <v>3</v>
      </c>
      <c r="L5" s="507"/>
      <c r="M5" s="146"/>
      <c r="N5" s="59" t="s">
        <v>323</v>
      </c>
      <c r="O5" s="13"/>
      <c r="P5" s="13"/>
      <c r="Q5" s="13"/>
      <c r="R5" s="161">
        <f>+Class1_lvl+Class2_lvl</f>
        <v>4</v>
      </c>
      <c r="S5" s="13"/>
      <c r="T5" s="44"/>
      <c r="U5" s="13"/>
      <c r="V5" s="14"/>
      <c r="W5" s="23"/>
      <c r="X5" s="23"/>
      <c r="Y5" s="23"/>
      <c r="Z5" s="23"/>
      <c r="AB5" s="72"/>
      <c r="AC5" s="1"/>
      <c r="AD5" s="1"/>
      <c r="AE5" s="1"/>
      <c r="AF5" s="54"/>
      <c r="AG5" s="1"/>
      <c r="AH5" s="23"/>
      <c r="AI5" s="1"/>
      <c r="AJ5" s="1"/>
    </row>
    <row r="6" spans="1:36" ht="4.5" customHeight="1">
      <c r="A6" s="23"/>
      <c r="B6" s="17"/>
      <c r="C6" s="23"/>
      <c r="D6" s="17"/>
      <c r="E6" s="17"/>
      <c r="F6" s="23"/>
      <c r="G6" s="23"/>
      <c r="H6" s="23"/>
      <c r="I6" s="57"/>
      <c r="J6" s="23"/>
      <c r="K6" s="23"/>
      <c r="L6" s="42"/>
      <c r="M6" s="23"/>
      <c r="N6" s="19"/>
      <c r="O6" s="19"/>
      <c r="P6" s="19"/>
      <c r="Q6" s="46"/>
      <c r="R6" s="46"/>
      <c r="S6" s="46"/>
      <c r="T6" s="23"/>
      <c r="U6" s="23"/>
      <c r="V6" s="23"/>
      <c r="W6" s="23"/>
      <c r="X6" s="23"/>
      <c r="Y6" s="23"/>
      <c r="Z6" s="23"/>
      <c r="AB6" s="23"/>
      <c r="AC6" s="156"/>
      <c r="AD6" s="23"/>
      <c r="AE6" s="54"/>
      <c r="AF6" s="54"/>
      <c r="AG6" s="54"/>
      <c r="AH6" s="23"/>
      <c r="AI6" s="23"/>
      <c r="AJ6" s="23"/>
    </row>
    <row r="7" spans="1:36" ht="18" customHeight="1">
      <c r="A7" s="59" t="s">
        <v>228</v>
      </c>
      <c r="B7" s="44"/>
      <c r="C7" s="387" t="s">
        <v>1129</v>
      </c>
      <c r="D7" s="292"/>
      <c r="E7" s="292"/>
      <c r="F7" s="292"/>
      <c r="G7" s="165"/>
      <c r="H7" s="23"/>
      <c r="I7" s="163" t="s">
        <v>1221</v>
      </c>
      <c r="J7" s="29"/>
      <c r="K7" s="508">
        <v>1</v>
      </c>
      <c r="L7" s="509"/>
      <c r="M7" s="23"/>
      <c r="N7" s="59" t="s">
        <v>314</v>
      </c>
      <c r="O7" s="44"/>
      <c r="P7" s="183"/>
      <c r="Q7" s="44"/>
      <c r="R7" s="56"/>
      <c r="S7" s="56"/>
      <c r="T7" s="56" t="s">
        <v>15</v>
      </c>
      <c r="U7" s="485" t="s">
        <v>102</v>
      </c>
      <c r="V7" s="53"/>
      <c r="W7" s="23"/>
      <c r="X7" s="23"/>
      <c r="Y7" s="23"/>
      <c r="Z7" s="23"/>
      <c r="AB7" s="72"/>
      <c r="AC7" s="1"/>
      <c r="AD7" s="180"/>
      <c r="AE7" s="23"/>
      <c r="AF7" s="181"/>
      <c r="AG7" s="1"/>
      <c r="AH7" s="181"/>
      <c r="AI7" s="181"/>
      <c r="AJ7" s="181"/>
    </row>
    <row r="8" spans="1:36" ht="18" customHeight="1">
      <c r="A8" s="19"/>
      <c r="B8" s="19"/>
      <c r="C8" s="19"/>
      <c r="D8" s="19"/>
      <c r="E8" s="19"/>
      <c r="F8" s="19"/>
      <c r="G8" s="19"/>
      <c r="H8" s="19"/>
      <c r="I8" s="19"/>
      <c r="J8" s="19"/>
      <c r="K8" s="19"/>
      <c r="L8" s="19"/>
      <c r="M8" s="19"/>
      <c r="N8" s="19"/>
      <c r="O8" s="19"/>
      <c r="P8" s="19"/>
      <c r="Q8" s="19"/>
      <c r="R8" s="19"/>
      <c r="S8" s="19"/>
      <c r="T8" s="19"/>
      <c r="U8" s="19"/>
      <c r="V8" s="23"/>
      <c r="W8" s="23"/>
      <c r="X8" s="23"/>
      <c r="Y8" s="23"/>
      <c r="Z8" s="23"/>
      <c r="AB8" s="1"/>
      <c r="AC8" s="1"/>
      <c r="AD8" s="1"/>
      <c r="AE8" s="1"/>
      <c r="AF8" s="1"/>
      <c r="AG8" s="1"/>
      <c r="AH8" s="1"/>
      <c r="AI8" s="1"/>
      <c r="AJ8" s="1"/>
    </row>
    <row r="9" spans="1:26" ht="18.75" customHeight="1">
      <c r="A9" s="19"/>
      <c r="B9" s="19"/>
      <c r="C9" s="19"/>
      <c r="D9" s="19"/>
      <c r="E9" s="23"/>
      <c r="F9" s="23"/>
      <c r="G9" s="23"/>
      <c r="H9" s="23"/>
      <c r="I9" s="23"/>
      <c r="J9" s="23"/>
      <c r="K9" s="23"/>
      <c r="L9" s="23"/>
      <c r="M9" s="23"/>
      <c r="N9" s="23"/>
      <c r="O9" s="19"/>
      <c r="P9" s="19"/>
      <c r="Q9" s="19"/>
      <c r="R9" s="19"/>
      <c r="S9" s="19"/>
      <c r="T9" s="19"/>
      <c r="U9" s="19"/>
      <c r="V9" s="23"/>
      <c r="W9" s="23"/>
      <c r="X9" s="23"/>
      <c r="Y9" s="23"/>
      <c r="Z9" s="23"/>
    </row>
    <row r="10" spans="1:26" ht="18.75" customHeight="1">
      <c r="A10" s="87" t="s">
        <v>152</v>
      </c>
      <c r="B10" s="88" t="s">
        <v>153</v>
      </c>
      <c r="C10" s="88" t="s">
        <v>155</v>
      </c>
      <c r="D10" s="89" t="s">
        <v>156</v>
      </c>
      <c r="E10" s="23"/>
      <c r="F10" s="47"/>
      <c r="G10" s="22"/>
      <c r="H10" s="90" t="s">
        <v>154</v>
      </c>
      <c r="I10" s="122" t="s">
        <v>315</v>
      </c>
      <c r="J10" s="88" t="s">
        <v>156</v>
      </c>
      <c r="K10" s="89" t="s">
        <v>167</v>
      </c>
      <c r="L10" s="19"/>
      <c r="M10" s="91" t="s">
        <v>166</v>
      </c>
      <c r="N10" s="33"/>
      <c r="O10" s="92" t="s">
        <v>154</v>
      </c>
      <c r="P10" s="88" t="s">
        <v>151</v>
      </c>
      <c r="Q10" s="88" t="s">
        <v>156</v>
      </c>
      <c r="R10" s="89" t="s">
        <v>167</v>
      </c>
      <c r="S10" s="19"/>
      <c r="T10" s="47"/>
      <c r="U10" s="22"/>
      <c r="V10" s="93" t="s">
        <v>168</v>
      </c>
      <c r="W10" s="88" t="s">
        <v>151</v>
      </c>
      <c r="X10" s="88" t="s">
        <v>156</v>
      </c>
      <c r="Y10" s="88" t="s">
        <v>312</v>
      </c>
      <c r="Z10" s="89" t="s">
        <v>313</v>
      </c>
    </row>
    <row r="11" spans="1:26" ht="18.75" customHeight="1">
      <c r="A11" s="60" t="s">
        <v>157</v>
      </c>
      <c r="B11" s="146">
        <v>12</v>
      </c>
      <c r="C11" s="66"/>
      <c r="D11" s="145">
        <f>IF(str&lt;10,ROUNDUP((str-10)/2,0),ROUNDDOWN((str-10)/2,0))</f>
        <v>1</v>
      </c>
      <c r="E11" s="23"/>
      <c r="F11" s="60" t="s">
        <v>172</v>
      </c>
      <c r="G11" s="23"/>
      <c r="H11" s="123">
        <f>I11+J11+K11</f>
        <v>4</v>
      </c>
      <c r="I11" s="66">
        <v>3</v>
      </c>
      <c r="J11" s="66">
        <f>strmod</f>
        <v>1</v>
      </c>
      <c r="K11" s="67"/>
      <c r="L11" s="19"/>
      <c r="M11" s="60" t="s">
        <v>163</v>
      </c>
      <c r="N11" s="23"/>
      <c r="O11" s="123">
        <f>P11+Q11+R11</f>
        <v>4</v>
      </c>
      <c r="P11" s="66">
        <v>1</v>
      </c>
      <c r="Q11" s="66">
        <f>dexmod</f>
        <v>3</v>
      </c>
      <c r="R11" s="67"/>
      <c r="S11" s="19"/>
      <c r="T11" s="60" t="s">
        <v>309</v>
      </c>
      <c r="U11" s="23"/>
      <c r="V11" s="148">
        <f>W11+X11+Y11+Z11</f>
        <v>17</v>
      </c>
      <c r="W11" s="66">
        <v>10</v>
      </c>
      <c r="X11" s="66">
        <f>IF(armortype1="N",IF(totalweight&lt;Lightweight,dexmod,IF(totalweight&lt;Mediumweight,IF(mediummaxdex&lt;dexmod,mediummaxdex,dexmod),IF(heavymaxdex&lt;dexmod,heavymaxdex,dexmod))),IF(totalweight&lt;Lightweight,IF((armor1maxdex+Armor2maxdex)&lt;dexmod,(armor1maxdex+Armor2maxdex),dexmod),IF(totalweight&lt;Mediumweight,IF(mediummaxdex&lt;(armor1maxdex+Armor2maxdex),IF(mediummaxdex&lt;dexmod,mediummaxdex,dexmod),IF((armor1maxdex+Armor2maxdex)&lt;dexmod,(armor1maxdex+Armor2maxdex),dexmod)),IF(heavymaxdex&lt;(armor1maxdex+Armor2maxdex),IF(heavymaxdex&lt;dexmod,heavymaxdex,dexmod),IF((armor1maxdex+Armor2maxdex)&lt;dexmod,(armor1maxdex+Armor2maxdex),dexmod)))))</f>
        <v>3</v>
      </c>
      <c r="Y11" s="66"/>
      <c r="Z11" s="67">
        <f>+armor1ac+armor2ac</f>
        <v>4</v>
      </c>
    </row>
    <row r="12" spans="1:26" ht="18.75" customHeight="1">
      <c r="A12" s="60" t="s">
        <v>158</v>
      </c>
      <c r="B12" s="146">
        <f>14+2</f>
        <v>16</v>
      </c>
      <c r="C12" s="66"/>
      <c r="D12" s="145">
        <f>IF(dex&lt;10,ROUNDUP((dex-10)/2,0),ROUNDDOWN((dex-10)/2,0))</f>
        <v>3</v>
      </c>
      <c r="E12" s="19"/>
      <c r="F12" s="60" t="s">
        <v>173</v>
      </c>
      <c r="G12" s="23"/>
      <c r="H12" s="123">
        <f>I12+J12+K12</f>
        <v>6</v>
      </c>
      <c r="I12" s="66">
        <v>3</v>
      </c>
      <c r="J12" s="66">
        <f>dexmod</f>
        <v>3</v>
      </c>
      <c r="K12" s="67"/>
      <c r="L12" s="19"/>
      <c r="M12" s="60" t="s">
        <v>164</v>
      </c>
      <c r="N12" s="23"/>
      <c r="O12" s="123">
        <f>P12+Q12+R12</f>
        <v>5</v>
      </c>
      <c r="P12" s="66">
        <v>4</v>
      </c>
      <c r="Q12" s="66">
        <f>conmod</f>
        <v>1</v>
      </c>
      <c r="R12" s="67"/>
      <c r="S12" s="19"/>
      <c r="T12" s="144" t="s">
        <v>310</v>
      </c>
      <c r="U12" s="188"/>
      <c r="V12" s="123">
        <f>SUM(W12:Z12)</f>
        <v>14</v>
      </c>
      <c r="W12" s="66">
        <f>W11</f>
        <v>10</v>
      </c>
      <c r="X12" s="284"/>
      <c r="Y12" s="283"/>
      <c r="Z12" s="67">
        <f>Z11</f>
        <v>4</v>
      </c>
    </row>
    <row r="13" spans="1:32" ht="18.75" customHeight="1">
      <c r="A13" s="60" t="s">
        <v>159</v>
      </c>
      <c r="B13" s="146">
        <f>14-2</f>
        <v>12</v>
      </c>
      <c r="C13" s="66"/>
      <c r="D13" s="145">
        <f>IF(con&lt;10,ROUNDUP((con-10)/2,0),ROUNDDOWN((con-10)/2,0))</f>
        <v>1</v>
      </c>
      <c r="E13" s="23"/>
      <c r="F13" s="61" t="s">
        <v>535</v>
      </c>
      <c r="G13" s="29"/>
      <c r="H13" s="124">
        <f>SUM(I13:K13)</f>
        <v>4</v>
      </c>
      <c r="I13" s="150">
        <v>3</v>
      </c>
      <c r="J13" s="150">
        <f>strmod</f>
        <v>1</v>
      </c>
      <c r="K13" s="151"/>
      <c r="L13" s="19"/>
      <c r="M13" s="61" t="s">
        <v>165</v>
      </c>
      <c r="N13" s="29" t="s">
        <v>547</v>
      </c>
      <c r="O13" s="124">
        <f>P13+Q13+R13</f>
        <v>7</v>
      </c>
      <c r="P13" s="150">
        <v>3</v>
      </c>
      <c r="Q13" s="150">
        <f>wismod</f>
        <v>4</v>
      </c>
      <c r="R13" s="151"/>
      <c r="S13" s="19"/>
      <c r="T13" s="60" t="s">
        <v>311</v>
      </c>
      <c r="U13" s="23"/>
      <c r="V13" s="123">
        <f>SUM(W13:Z13)</f>
        <v>13</v>
      </c>
      <c r="W13" s="66">
        <f>W11</f>
        <v>10</v>
      </c>
      <c r="X13" s="66">
        <f>X11</f>
        <v>3</v>
      </c>
      <c r="Y13" s="66"/>
      <c r="Z13" s="94"/>
      <c r="AC13" s="25" t="s">
        <v>213</v>
      </c>
      <c r="AD13" s="26" t="s">
        <v>197</v>
      </c>
      <c r="AE13" s="26" t="s">
        <v>221</v>
      </c>
      <c r="AF13" s="27" t="s">
        <v>198</v>
      </c>
    </row>
    <row r="14" spans="1:32" ht="18.75" customHeight="1">
      <c r="A14" s="60" t="s">
        <v>160</v>
      </c>
      <c r="B14" s="146">
        <v>14</v>
      </c>
      <c r="C14" s="66"/>
      <c r="D14" s="145">
        <f>IF(int&lt;10,ROUNDUP((int-10)/2,0),ROUNDDOWN((int-10)/2,0))</f>
        <v>2</v>
      </c>
      <c r="E14" s="19"/>
      <c r="F14" s="19"/>
      <c r="G14" s="23"/>
      <c r="H14" s="19"/>
      <c r="I14" s="19"/>
      <c r="J14" s="19"/>
      <c r="K14" s="19"/>
      <c r="L14" s="19"/>
      <c r="M14" s="182" t="s">
        <v>546</v>
      </c>
      <c r="N14" s="182"/>
      <c r="O14" s="190"/>
      <c r="P14" s="19"/>
      <c r="Q14" s="19"/>
      <c r="R14" s="19"/>
      <c r="S14" s="19"/>
      <c r="T14" s="155"/>
      <c r="U14" s="23"/>
      <c r="V14" s="282"/>
      <c r="W14" s="104"/>
      <c r="X14" s="23"/>
      <c r="Y14" s="23"/>
      <c r="Z14" s="42"/>
      <c r="AC14" s="7">
        <v>8</v>
      </c>
      <c r="AD14" s="36">
        <v>26</v>
      </c>
      <c r="AE14" s="36">
        <v>53</v>
      </c>
      <c r="AF14" s="37">
        <v>80</v>
      </c>
    </row>
    <row r="15" spans="1:32" ht="18.75" customHeight="1">
      <c r="A15" s="60" t="s">
        <v>161</v>
      </c>
      <c r="B15" s="146">
        <f>15+2+1</f>
        <v>18</v>
      </c>
      <c r="C15" s="66"/>
      <c r="D15" s="145">
        <f>IF(wis&lt;10,ROUNDUP((wis-10)/2,0),ROUNDDOWN((wis-10)/2,0))</f>
        <v>4</v>
      </c>
      <c r="E15" s="19"/>
      <c r="F15" s="389" t="s">
        <v>199</v>
      </c>
      <c r="G15" s="470">
        <f>27+6</f>
        <v>33</v>
      </c>
      <c r="H15" s="95"/>
      <c r="I15" s="95"/>
      <c r="J15" s="95"/>
      <c r="K15" s="193"/>
      <c r="L15" s="95"/>
      <c r="M15" s="185"/>
      <c r="N15" s="182"/>
      <c r="O15" s="59" t="s">
        <v>517</v>
      </c>
      <c r="P15" s="44"/>
      <c r="Q15" s="471">
        <f>6+3</f>
        <v>9</v>
      </c>
      <c r="R15" s="63"/>
      <c r="S15" s="19"/>
      <c r="T15" s="61" t="s">
        <v>169</v>
      </c>
      <c r="U15" s="29"/>
      <c r="V15" s="152">
        <f>W15+X15+Y15</f>
        <v>3</v>
      </c>
      <c r="W15" s="150">
        <f>dexmod</f>
        <v>3</v>
      </c>
      <c r="X15" s="150"/>
      <c r="Y15" s="150"/>
      <c r="Z15" s="151"/>
      <c r="AC15" s="7">
        <v>9</v>
      </c>
      <c r="AD15" s="36">
        <v>30</v>
      </c>
      <c r="AE15" s="36">
        <v>60</v>
      </c>
      <c r="AF15" s="37">
        <v>90</v>
      </c>
    </row>
    <row r="16" spans="1:32" ht="18.75" customHeight="1">
      <c r="A16" s="61" t="s">
        <v>162</v>
      </c>
      <c r="B16" s="241">
        <f>14</f>
        <v>14</v>
      </c>
      <c r="C16" s="150"/>
      <c r="D16" s="145">
        <f>IF(cha&lt;10,ROUNDUP((cha-10)/2,0),ROUNDDOWN((cha-10)/2,0))</f>
        <v>2</v>
      </c>
      <c r="E16" s="19"/>
      <c r="F16" s="390" t="s">
        <v>200</v>
      </c>
      <c r="G16" s="147">
        <f>+con+Chr_lvl</f>
        <v>16</v>
      </c>
      <c r="H16" s="97"/>
      <c r="I16" s="98"/>
      <c r="J16" s="98"/>
      <c r="K16" s="98"/>
      <c r="L16" s="98"/>
      <c r="M16" s="99"/>
      <c r="N16" s="19"/>
      <c r="O16" s="19"/>
      <c r="P16" s="19"/>
      <c r="Q16" s="19"/>
      <c r="R16" s="19"/>
      <c r="S16" s="19"/>
      <c r="T16" s="19"/>
      <c r="U16" s="19"/>
      <c r="V16" s="19"/>
      <c r="W16" s="19"/>
      <c r="X16" s="19"/>
      <c r="Y16" s="19"/>
      <c r="Z16" s="19"/>
      <c r="AC16" s="7">
        <v>10</v>
      </c>
      <c r="AD16" s="36">
        <v>33</v>
      </c>
      <c r="AE16" s="36">
        <v>66</v>
      </c>
      <c r="AF16" s="37">
        <v>100</v>
      </c>
    </row>
    <row r="17" spans="1:32" ht="18.75" customHeight="1">
      <c r="A17" s="244"/>
      <c r="B17" s="245"/>
      <c r="C17" s="244"/>
      <c r="D17" s="316">
        <f>SUM(D11:D16)</f>
        <v>13</v>
      </c>
      <c r="E17" s="19"/>
      <c r="F17" s="19"/>
      <c r="G17" s="107" t="s">
        <v>1168</v>
      </c>
      <c r="H17" s="19"/>
      <c r="I17" s="19"/>
      <c r="J17" s="19"/>
      <c r="K17" s="19"/>
      <c r="L17" s="19"/>
      <c r="M17" s="19"/>
      <c r="N17" s="19"/>
      <c r="O17" s="19"/>
      <c r="P17" s="19"/>
      <c r="Q17" s="23"/>
      <c r="R17" s="19"/>
      <c r="S17" s="19"/>
      <c r="T17" s="19"/>
      <c r="U17" s="19"/>
      <c r="V17" s="19"/>
      <c r="W17" s="19"/>
      <c r="X17" s="19"/>
      <c r="Y17" s="19"/>
      <c r="Z17" s="19"/>
      <c r="AC17" s="7">
        <v>11</v>
      </c>
      <c r="AD17" s="36">
        <v>38</v>
      </c>
      <c r="AE17" s="36">
        <v>76</v>
      </c>
      <c r="AF17" s="37">
        <v>115</v>
      </c>
    </row>
    <row r="18" spans="1:32" ht="18.75" customHeight="1">
      <c r="A18" s="19"/>
      <c r="B18" s="19"/>
      <c r="C18" s="19"/>
      <c r="D18" s="19"/>
      <c r="E18" s="19"/>
      <c r="F18" s="19"/>
      <c r="G18" s="19"/>
      <c r="H18" s="19"/>
      <c r="I18" s="19"/>
      <c r="J18" s="19"/>
      <c r="K18" s="19"/>
      <c r="L18" s="19"/>
      <c r="M18" s="19"/>
      <c r="N18" s="19"/>
      <c r="O18" s="100"/>
      <c r="P18" s="127" t="s">
        <v>319</v>
      </c>
      <c r="Q18" s="128"/>
      <c r="R18" s="125" t="s">
        <v>273</v>
      </c>
      <c r="S18" s="126" t="s">
        <v>316</v>
      </c>
      <c r="T18" s="126" t="s">
        <v>317</v>
      </c>
      <c r="U18" s="21"/>
      <c r="V18" s="101" t="s">
        <v>201</v>
      </c>
      <c r="W18" s="102"/>
      <c r="X18" s="101" t="s">
        <v>224</v>
      </c>
      <c r="Y18" s="103"/>
      <c r="Z18" s="28"/>
      <c r="AC18" s="7">
        <v>12</v>
      </c>
      <c r="AD18" s="36">
        <v>43</v>
      </c>
      <c r="AE18" s="36">
        <v>86</v>
      </c>
      <c r="AF18" s="37">
        <v>130</v>
      </c>
    </row>
    <row r="19" spans="1:32" ht="18.75" customHeight="1">
      <c r="A19" s="47"/>
      <c r="B19" s="22"/>
      <c r="C19" s="48" t="s">
        <v>206</v>
      </c>
      <c r="D19" s="90" t="s">
        <v>154</v>
      </c>
      <c r="E19" s="49" t="s">
        <v>236</v>
      </c>
      <c r="F19" s="50" t="s">
        <v>235</v>
      </c>
      <c r="G19" s="49" t="s">
        <v>270</v>
      </c>
      <c r="H19" s="50" t="s">
        <v>283</v>
      </c>
      <c r="I19" s="33" t="s">
        <v>167</v>
      </c>
      <c r="J19" s="51" t="s">
        <v>212</v>
      </c>
      <c r="K19" s="22"/>
      <c r="L19" s="22"/>
      <c r="M19" s="118" t="s">
        <v>282</v>
      </c>
      <c r="N19" s="19"/>
      <c r="O19" s="499" t="s">
        <v>31</v>
      </c>
      <c r="P19" s="23"/>
      <c r="Q19" s="23"/>
      <c r="R19" s="285"/>
      <c r="S19" s="286">
        <v>1</v>
      </c>
      <c r="T19" s="286">
        <v>1</v>
      </c>
      <c r="U19" s="1"/>
      <c r="V19" s="148">
        <f>IF(wp2type="M",mmod,rmod)-strmod+dexmod+wp2attbonus</f>
        <v>7</v>
      </c>
      <c r="W19" s="120"/>
      <c r="X19" s="287" t="s">
        <v>332</v>
      </c>
      <c r="Y19" s="149" t="str">
        <f>IF(wp2type="P","+"&amp;wp2dmgbonus,(IF((strmod+wp2dmgbonus)&gt;0,"+"&amp;(strmod+wp2dmgbonus),IF((strmod+wp2dmgbonus)&lt;0,(strmod+wp2dmgbonus),""))))</f>
        <v>+2</v>
      </c>
      <c r="Z19" s="160"/>
      <c r="AC19" s="7">
        <v>13</v>
      </c>
      <c r="AD19" s="36">
        <v>50</v>
      </c>
      <c r="AE19" s="36">
        <v>100</v>
      </c>
      <c r="AF19" s="37">
        <v>150</v>
      </c>
    </row>
    <row r="20" spans="1:32" ht="18.75" customHeight="1">
      <c r="A20" s="452" t="s">
        <v>307</v>
      </c>
      <c r="B20" s="453"/>
      <c r="C20" s="453" t="s">
        <v>207</v>
      </c>
      <c r="D20" s="454">
        <f>+E20+F20+H20+I20+G20</f>
        <v>2</v>
      </c>
      <c r="E20" s="455">
        <f>IF(C20="Int",intmod,IF(C20="Dex",dexmod,IF(C20="Cha",chamod,IF(C20="Str",strmod,IF(C20="Con",conmod,wismod)))))</f>
        <v>2</v>
      </c>
      <c r="F20" s="455"/>
      <c r="G20" s="456"/>
      <c r="H20" s="455"/>
      <c r="I20" s="455"/>
      <c r="J20" s="457"/>
      <c r="K20" s="457"/>
      <c r="L20" s="457"/>
      <c r="M20" s="458">
        <v>67</v>
      </c>
      <c r="N20" s="19"/>
      <c r="O20" s="105"/>
      <c r="P20" s="86" t="s">
        <v>203</v>
      </c>
      <c r="Q20" s="86" t="s">
        <v>321</v>
      </c>
      <c r="R20" s="86"/>
      <c r="S20" s="86" t="s">
        <v>202</v>
      </c>
      <c r="T20" s="86" t="s">
        <v>532</v>
      </c>
      <c r="U20" s="86"/>
      <c r="V20" s="86"/>
      <c r="W20" s="86" t="s">
        <v>318</v>
      </c>
      <c r="X20" s="86" t="s">
        <v>328</v>
      </c>
      <c r="Y20" s="86" t="s">
        <v>205</v>
      </c>
      <c r="Z20" s="158">
        <v>2</v>
      </c>
      <c r="AC20" s="7">
        <v>14</v>
      </c>
      <c r="AD20" s="36">
        <v>58</v>
      </c>
      <c r="AE20" s="36">
        <v>116</v>
      </c>
      <c r="AF20" s="37">
        <v>175</v>
      </c>
    </row>
    <row r="21" spans="1:32" ht="18.75" customHeight="1">
      <c r="A21" s="78" t="s">
        <v>174</v>
      </c>
      <c r="B21" s="104"/>
      <c r="C21" s="104" t="s">
        <v>262</v>
      </c>
      <c r="D21" s="123">
        <f aca="true" t="shared" si="0" ref="D21:D49">+E21+F21+H21+I21+G21</f>
        <v>3</v>
      </c>
      <c r="E21" s="66">
        <f aca="true" t="shared" si="1" ref="E21:E27">IF(C21="Int",intmod,IF(C21="Dex",dexmod,IF(C21="Cha",chamod,IF(C21="Str",strmod,IF(C21="Con",conmod,wismod)))))</f>
        <v>3</v>
      </c>
      <c r="F21" s="66"/>
      <c r="G21" s="66">
        <f>IF(armor1type="n",IF(armor2type="n",IF(totalweight&lt;Lightweight,0,IF(totalweight&lt;Mediumweight,mediumcheckpen,heavycheckpen)),IF(totalweight&lt;Lightweight,$AK$29,IF(totalweight&lt;Mediumweight,IF(mediumcheckpen&lt;$AK$29,mediumcheckpen,$AK$29),IF(heavycheckpen&lt;$AK$29,heavycheckpen,$AK$29)))),IF(totalweight&lt;Lightweight,(Armor1checkpen+$AK$29),IF(totalweight&lt;Mediumweight,IF(mediumcheckpen&lt;(Armor1checkpen+$AK$29),mediumcheckpen,(Armor1checkpen+$AK$29)),IF(heavycheckpen&lt;(Armor1checkpen+$AK$29),heavycheckpen,(Armor1checkpen+$AK$29)))))</f>
        <v>0</v>
      </c>
      <c r="H21" s="66"/>
      <c r="I21" s="66"/>
      <c r="J21" s="52"/>
      <c r="K21" s="52"/>
      <c r="L21" s="52"/>
      <c r="M21" s="459">
        <v>67</v>
      </c>
      <c r="N21" s="19"/>
      <c r="O21" s="105"/>
      <c r="P21" s="86" t="s">
        <v>204</v>
      </c>
      <c r="Q21" s="86" t="s">
        <v>7</v>
      </c>
      <c r="R21" s="86"/>
      <c r="S21" s="86"/>
      <c r="T21" s="86"/>
      <c r="U21" s="86"/>
      <c r="V21" s="86"/>
      <c r="W21" s="86"/>
      <c r="X21" s="86"/>
      <c r="Y21" s="86"/>
      <c r="Z21" s="158"/>
      <c r="AC21" s="8">
        <v>15</v>
      </c>
      <c r="AD21" s="36">
        <v>66</v>
      </c>
      <c r="AE21" s="36">
        <v>133</v>
      </c>
      <c r="AF21" s="37">
        <v>200</v>
      </c>
    </row>
    <row r="22" spans="1:32" ht="18.75" customHeight="1">
      <c r="A22" s="452" t="s">
        <v>175</v>
      </c>
      <c r="B22" s="453"/>
      <c r="C22" s="453" t="s">
        <v>208</v>
      </c>
      <c r="D22" s="454">
        <f t="shared" si="0"/>
        <v>2</v>
      </c>
      <c r="E22" s="455">
        <f t="shared" si="1"/>
        <v>2</v>
      </c>
      <c r="F22" s="455"/>
      <c r="G22" s="455"/>
      <c r="H22" s="455"/>
      <c r="I22" s="455"/>
      <c r="J22" s="457"/>
      <c r="K22" s="457"/>
      <c r="L22" s="457"/>
      <c r="M22" s="458">
        <v>67</v>
      </c>
      <c r="N22" s="19"/>
      <c r="O22" s="105"/>
      <c r="P22" s="17"/>
      <c r="Q22" s="17"/>
      <c r="R22" s="23"/>
      <c r="S22" s="17"/>
      <c r="T22" s="17"/>
      <c r="U22" s="17"/>
      <c r="V22" s="17"/>
      <c r="W22" s="17"/>
      <c r="X22" s="17"/>
      <c r="Y22" s="17"/>
      <c r="Z22" s="159"/>
      <c r="AC22" s="8">
        <v>16</v>
      </c>
      <c r="AD22" s="36">
        <v>76</v>
      </c>
      <c r="AE22" s="36">
        <v>153</v>
      </c>
      <c r="AF22" s="37">
        <v>230</v>
      </c>
    </row>
    <row r="23" spans="1:32" ht="18.75" customHeight="1">
      <c r="A23" s="78" t="s">
        <v>234</v>
      </c>
      <c r="B23" s="104"/>
      <c r="C23" s="104" t="s">
        <v>213</v>
      </c>
      <c r="D23" s="123">
        <f t="shared" si="0"/>
        <v>1</v>
      </c>
      <c r="E23" s="66">
        <f>IF(C23="Int",intmod,IF(C23="Dex",dexmod,IF(C23="Cha",chamod,IF(C23="Str",strmod,IF(C23="Con",conmod,IF(C23="Wis",wismod,0))))))</f>
        <v>1</v>
      </c>
      <c r="F23" s="66"/>
      <c r="G23" s="66">
        <f>IF(armor1type="n",IF(armor2type="n",IF(totalweight&lt;Lightweight,0,IF(totalweight&lt;Mediumweight,mediumcheckpen,heavycheckpen)),IF(totalweight&lt;Lightweight,$AK$29,IF(totalweight&lt;Mediumweight,IF(mediumcheckpen&lt;$AK$29,mediumcheckpen,$AK$29),IF(heavycheckpen&lt;$AK$29,heavycheckpen,$AK$29)))),IF(totalweight&lt;Lightweight,(Armor1checkpen+$AK$29),IF(totalweight&lt;Mediumweight,IF(mediumcheckpen&lt;(Armor1checkpen+$AK$29),mediumcheckpen,(Armor1checkpen+$AK$29)),IF(heavycheckpen&lt;(Armor1checkpen+$AK$29),heavycheckpen,(Armor1checkpen+$AK$29)))))</f>
        <v>0</v>
      </c>
      <c r="H23" s="66"/>
      <c r="I23" s="66"/>
      <c r="J23" s="52"/>
      <c r="K23" s="52"/>
      <c r="L23" s="52"/>
      <c r="M23" s="460">
        <v>69</v>
      </c>
      <c r="N23" s="19"/>
      <c r="O23" s="60" t="s">
        <v>533</v>
      </c>
      <c r="P23" s="23"/>
      <c r="Q23" s="23"/>
      <c r="R23" s="285">
        <v>100</v>
      </c>
      <c r="S23" s="286"/>
      <c r="T23" s="286"/>
      <c r="U23" s="1"/>
      <c r="V23" s="148">
        <f>IF(wp1type="M",mmod,rmod)+wp1attbonus</f>
        <v>6</v>
      </c>
      <c r="W23" s="119"/>
      <c r="X23" s="287" t="s">
        <v>330</v>
      </c>
      <c r="Y23" s="149" t="str">
        <f>IF(wp1type="P","+"&amp;wp1dmgbonus,(IF((strmod+wp1dmgbonus)&gt;0,"+"&amp;(strmod+wp1dmgbonus),IF((strmod+wp1dmgbonus)&lt;0,(strmod+wp1dmgbonus),""))))</f>
        <v>+</v>
      </c>
      <c r="Z23" s="2"/>
      <c r="AC23" s="7">
        <v>17</v>
      </c>
      <c r="AD23" s="36">
        <v>86</v>
      </c>
      <c r="AE23" s="36">
        <v>173</v>
      </c>
      <c r="AF23" s="37">
        <v>260</v>
      </c>
    </row>
    <row r="24" spans="1:32" ht="18.75" customHeight="1">
      <c r="A24" s="78" t="s">
        <v>177</v>
      </c>
      <c r="B24" s="104"/>
      <c r="C24" s="104" t="s">
        <v>209</v>
      </c>
      <c r="D24" s="123">
        <f t="shared" si="0"/>
        <v>4</v>
      </c>
      <c r="E24" s="66">
        <f t="shared" si="1"/>
        <v>1</v>
      </c>
      <c r="F24" s="66">
        <f>2+1</f>
        <v>3</v>
      </c>
      <c r="G24" s="66"/>
      <c r="H24" s="66"/>
      <c r="I24" s="66"/>
      <c r="J24" s="52"/>
      <c r="K24" s="52"/>
      <c r="L24" s="52"/>
      <c r="M24" s="461">
        <v>69</v>
      </c>
      <c r="N24" s="19"/>
      <c r="O24" s="57"/>
      <c r="P24" s="86" t="s">
        <v>229</v>
      </c>
      <c r="Q24" s="86" t="s">
        <v>321</v>
      </c>
      <c r="R24" s="86"/>
      <c r="S24" s="86" t="s">
        <v>202</v>
      </c>
      <c r="T24" s="86" t="s">
        <v>223</v>
      </c>
      <c r="U24" s="86"/>
      <c r="V24" s="86"/>
      <c r="W24" s="86" t="s">
        <v>318</v>
      </c>
      <c r="X24" s="86" t="s">
        <v>331</v>
      </c>
      <c r="Y24" s="86" t="s">
        <v>205</v>
      </c>
      <c r="Z24" s="158">
        <v>6</v>
      </c>
      <c r="AC24" s="7">
        <v>18</v>
      </c>
      <c r="AD24" s="36">
        <v>100</v>
      </c>
      <c r="AE24" s="36">
        <v>200</v>
      </c>
      <c r="AF24" s="37">
        <v>300</v>
      </c>
    </row>
    <row r="25" spans="1:32" ht="18.75" customHeight="1">
      <c r="A25" s="78" t="s">
        <v>178</v>
      </c>
      <c r="B25" s="104"/>
      <c r="C25" s="104" t="s">
        <v>208</v>
      </c>
      <c r="D25" s="123">
        <f t="shared" si="0"/>
        <v>2</v>
      </c>
      <c r="E25" s="66">
        <f t="shared" si="1"/>
        <v>2</v>
      </c>
      <c r="F25" s="66"/>
      <c r="G25" s="66"/>
      <c r="H25" s="66"/>
      <c r="I25" s="66"/>
      <c r="J25" s="52"/>
      <c r="K25" s="52"/>
      <c r="L25" s="52"/>
      <c r="M25" s="461">
        <v>71</v>
      </c>
      <c r="N25" s="19"/>
      <c r="O25" s="105"/>
      <c r="P25" s="86" t="s">
        <v>204</v>
      </c>
      <c r="Q25" s="86" t="s">
        <v>13</v>
      </c>
      <c r="R25" s="86"/>
      <c r="S25" s="86"/>
      <c r="T25" s="86"/>
      <c r="U25" s="86"/>
      <c r="V25" s="86"/>
      <c r="W25" s="176"/>
      <c r="X25" s="86"/>
      <c r="Y25" s="86"/>
      <c r="Z25" s="158"/>
      <c r="AC25" s="7">
        <v>19</v>
      </c>
      <c r="AD25" s="36">
        <v>116</v>
      </c>
      <c r="AE25" s="36">
        <v>233</v>
      </c>
      <c r="AF25" s="37">
        <v>350</v>
      </c>
    </row>
    <row r="26" spans="1:32" ht="18.75" customHeight="1">
      <c r="A26" s="452" t="s">
        <v>179</v>
      </c>
      <c r="B26" s="453"/>
      <c r="C26" s="453" t="s">
        <v>208</v>
      </c>
      <c r="D26" s="454">
        <f t="shared" si="0"/>
        <v>2</v>
      </c>
      <c r="E26" s="455">
        <f t="shared" si="1"/>
        <v>2</v>
      </c>
      <c r="F26" s="455"/>
      <c r="G26" s="455"/>
      <c r="H26" s="455"/>
      <c r="I26" s="455"/>
      <c r="J26" s="457"/>
      <c r="K26" s="457"/>
      <c r="L26" s="457"/>
      <c r="M26" s="458">
        <v>72</v>
      </c>
      <c r="N26" s="19"/>
      <c r="O26" s="105"/>
      <c r="P26" s="17"/>
      <c r="Q26" s="17"/>
      <c r="R26" s="23"/>
      <c r="S26" s="17"/>
      <c r="T26" s="17"/>
      <c r="U26" s="17"/>
      <c r="V26" s="17"/>
      <c r="W26" s="17"/>
      <c r="X26" s="17"/>
      <c r="Y26" s="17"/>
      <c r="Z26" s="159"/>
      <c r="AC26" s="12">
        <v>20</v>
      </c>
      <c r="AD26" s="38">
        <v>133</v>
      </c>
      <c r="AE26" s="38">
        <v>266</v>
      </c>
      <c r="AF26" s="39">
        <v>400</v>
      </c>
    </row>
    <row r="27" spans="1:28" ht="18.75" customHeight="1">
      <c r="A27" s="452" t="s">
        <v>180</v>
      </c>
      <c r="B27" s="453"/>
      <c r="C27" s="453" t="s">
        <v>210</v>
      </c>
      <c r="D27" s="454">
        <f t="shared" si="0"/>
        <v>3</v>
      </c>
      <c r="E27" s="455">
        <f t="shared" si="1"/>
        <v>3</v>
      </c>
      <c r="F27" s="455"/>
      <c r="G27" s="455">
        <f>IF(armor1type="n",IF(armor2type="n",IF(totalweight&lt;Lightweight,0,IF(totalweight&lt;Mediumweight,mediumcheckpen,heavycheckpen)),IF(totalweight&lt;Lightweight,$AK$29,IF(totalweight&lt;Mediumweight,IF(mediumcheckpen&lt;$AK$29,mediumcheckpen,$AK$29),IF(heavycheckpen&lt;$AK$29,heavycheckpen,$AK$29)))),IF(totalweight&lt;Lightweight,(Armor1checkpen+$AK$29),IF(totalweight&lt;Mediumweight,IF(mediumcheckpen&lt;(Armor1checkpen+$AK$29),mediumcheckpen,(Armor1checkpen+$AK$29)),IF(heavycheckpen&lt;(Armor1checkpen+$AK$29),heavycheckpen,(Armor1checkpen+$AK$29)))))</f>
        <v>0</v>
      </c>
      <c r="H27" s="455"/>
      <c r="I27" s="455"/>
      <c r="J27" s="462"/>
      <c r="K27" s="457"/>
      <c r="L27" s="457"/>
      <c r="M27" s="458">
        <v>73</v>
      </c>
      <c r="N27" s="19"/>
      <c r="O27" s="60"/>
      <c r="P27" s="23"/>
      <c r="Q27" s="23"/>
      <c r="R27" s="285"/>
      <c r="S27" s="286"/>
      <c r="T27" s="286"/>
      <c r="U27" s="1"/>
      <c r="V27" s="148">
        <f>IF(wp3type="M",mmod,rmod)+wp3attbonus</f>
        <v>6</v>
      </c>
      <c r="W27" s="120"/>
      <c r="X27" s="287"/>
      <c r="Y27" s="149" t="str">
        <f>IF(wp3type="P","+"&amp;wp3dmgbonus,(IF((strmod+wp3dmgbonus)&gt;0,"+"&amp;(strmod+wp3dmgbonus),IF((strmod+wp3dmgbonus)&lt;0,(strmod+wp3dmgbonus),""))))</f>
        <v>+1</v>
      </c>
      <c r="Z27" s="160"/>
      <c r="AB27" s="3"/>
    </row>
    <row r="28" spans="1:40" ht="18.75" customHeight="1">
      <c r="A28" s="452" t="s">
        <v>233</v>
      </c>
      <c r="B28" s="453"/>
      <c r="C28" s="453" t="s">
        <v>207</v>
      </c>
      <c r="D28" s="454">
        <f t="shared" si="0"/>
        <v>2</v>
      </c>
      <c r="E28" s="455">
        <f aca="true" t="shared" si="2" ref="E28:E43">IF(C28="Int",intmod,IF(C28="Dex",dexmod,IF(C28="Cha",chamod,IF(C28="Str",strmod,IF(C28="Con",conmod,wismod)))))</f>
        <v>2</v>
      </c>
      <c r="F28" s="455"/>
      <c r="G28" s="455"/>
      <c r="H28" s="455"/>
      <c r="I28" s="455"/>
      <c r="J28" s="457"/>
      <c r="K28" s="457"/>
      <c r="L28" s="457"/>
      <c r="M28" s="458">
        <v>74</v>
      </c>
      <c r="N28" s="19"/>
      <c r="O28" s="105"/>
      <c r="P28" s="86" t="s">
        <v>203</v>
      </c>
      <c r="Q28" s="86"/>
      <c r="R28" s="86"/>
      <c r="S28" s="86" t="s">
        <v>202</v>
      </c>
      <c r="T28" s="86"/>
      <c r="U28" s="86"/>
      <c r="V28" s="86"/>
      <c r="W28" s="86" t="s">
        <v>318</v>
      </c>
      <c r="X28" s="86"/>
      <c r="Y28" s="86" t="s">
        <v>205</v>
      </c>
      <c r="Z28" s="158"/>
      <c r="AC28" s="20" t="s">
        <v>363</v>
      </c>
      <c r="AD28" s="21"/>
      <c r="AE28" s="21"/>
      <c r="AF28" s="21"/>
      <c r="AG28" s="28"/>
      <c r="AH28" s="1"/>
      <c r="AI28" s="1"/>
      <c r="AJ28" s="1"/>
      <c r="AK28" s="1"/>
      <c r="AL28" s="1"/>
      <c r="AM28" s="1"/>
      <c r="AN28" s="1"/>
    </row>
    <row r="29" spans="1:40" ht="18.75" customHeight="1">
      <c r="A29" s="452" t="s">
        <v>176</v>
      </c>
      <c r="B29" s="453"/>
      <c r="C29" s="453" t="s">
        <v>208</v>
      </c>
      <c r="D29" s="454">
        <f t="shared" si="0"/>
        <v>2</v>
      </c>
      <c r="E29" s="455">
        <f t="shared" si="2"/>
        <v>2</v>
      </c>
      <c r="F29" s="455"/>
      <c r="G29" s="455"/>
      <c r="H29" s="455"/>
      <c r="I29" s="455"/>
      <c r="J29" s="457"/>
      <c r="K29" s="457"/>
      <c r="L29" s="457"/>
      <c r="M29" s="458">
        <v>74</v>
      </c>
      <c r="N29" s="19"/>
      <c r="O29" s="105"/>
      <c r="P29" s="86" t="s">
        <v>204</v>
      </c>
      <c r="Q29" s="176"/>
      <c r="R29" s="86"/>
      <c r="S29" s="86"/>
      <c r="T29" s="86"/>
      <c r="U29" s="86"/>
      <c r="V29" s="86"/>
      <c r="W29" s="86"/>
      <c r="X29" s="86"/>
      <c r="Y29" s="86"/>
      <c r="Z29" s="129"/>
      <c r="AC29" s="201"/>
      <c r="AD29" s="202"/>
      <c r="AE29" s="202"/>
      <c r="AF29" s="203"/>
      <c r="AG29" s="204"/>
      <c r="AH29" s="1"/>
      <c r="AI29" s="200"/>
      <c r="AJ29" s="1"/>
      <c r="AK29" s="200"/>
      <c r="AL29" s="1"/>
      <c r="AM29" s="200"/>
      <c r="AN29" s="1"/>
    </row>
    <row r="30" spans="1:40" ht="18.75" customHeight="1">
      <c r="A30" s="78" t="s">
        <v>181</v>
      </c>
      <c r="B30" s="104"/>
      <c r="C30" s="104" t="s">
        <v>211</v>
      </c>
      <c r="D30" s="123">
        <f t="shared" si="0"/>
        <v>4</v>
      </c>
      <c r="E30" s="66">
        <f t="shared" si="2"/>
        <v>4</v>
      </c>
      <c r="F30" s="66"/>
      <c r="G30" s="66"/>
      <c r="H30" s="66"/>
      <c r="I30" s="66"/>
      <c r="J30" s="52"/>
      <c r="K30" s="52"/>
      <c r="L30" s="52"/>
      <c r="M30" s="461">
        <v>75</v>
      </c>
      <c r="N30" s="19"/>
      <c r="O30" s="57"/>
      <c r="P30" s="23"/>
      <c r="Q30" s="23"/>
      <c r="R30" s="23"/>
      <c r="S30" s="23"/>
      <c r="T30" s="23"/>
      <c r="U30" s="23"/>
      <c r="V30" s="23"/>
      <c r="W30" s="23"/>
      <c r="X30" s="23"/>
      <c r="Y30" s="23"/>
      <c r="Z30" s="42"/>
      <c r="AH30" s="1"/>
      <c r="AI30" s="1"/>
      <c r="AJ30" s="1"/>
      <c r="AK30" s="1"/>
      <c r="AL30" s="1"/>
      <c r="AM30" s="1"/>
      <c r="AN30" s="1"/>
    </row>
    <row r="31" spans="1:40" ht="18.75" customHeight="1">
      <c r="A31" s="452" t="s">
        <v>182</v>
      </c>
      <c r="B31" s="453"/>
      <c r="C31" s="453" t="s">
        <v>210</v>
      </c>
      <c r="D31" s="454">
        <f t="shared" si="0"/>
        <v>3</v>
      </c>
      <c r="E31" s="455">
        <f t="shared" si="2"/>
        <v>3</v>
      </c>
      <c r="F31" s="455"/>
      <c r="G31" s="455">
        <f>IF(armor1type="n",IF(armor2type="n",IF(totalweight&lt;Lightweight,0,IF(totalweight&lt;Mediumweight,mediumcheckpen,heavycheckpen)),IF(totalweight&lt;Lightweight,$AK$29,IF(totalweight&lt;Mediumweight,IF(mediumcheckpen&lt;$AK$29,mediumcheckpen,$AK$29),IF(heavycheckpen&lt;$AK$29,heavycheckpen,$AK$29)))),IF(totalweight&lt;Lightweight,(Armor1checkpen+$AK$29),IF(totalweight&lt;Mediumweight,IF(mediumcheckpen&lt;(Armor1checkpen+$AK$29),mediumcheckpen,(Armor1checkpen+$AK$29)),IF(heavycheckpen&lt;(Armor1checkpen+$AK$29),heavycheckpen,(Armor1checkpen+$AK$29)))))</f>
        <v>0</v>
      </c>
      <c r="H31" s="455"/>
      <c r="I31" s="455"/>
      <c r="J31" s="462"/>
      <c r="K31" s="457"/>
      <c r="L31" s="457"/>
      <c r="M31" s="458">
        <v>76</v>
      </c>
      <c r="N31" s="19"/>
      <c r="O31" s="60"/>
      <c r="P31" s="23"/>
      <c r="Q31" s="23"/>
      <c r="R31" s="285"/>
      <c r="S31" s="286"/>
      <c r="T31" s="286"/>
      <c r="U31" s="1"/>
      <c r="V31" s="148">
        <f>IF(wp4type="M",mmod,rmod)+wp4attbonus</f>
        <v>6</v>
      </c>
      <c r="W31" s="121"/>
      <c r="X31" s="287"/>
      <c r="Y31" s="149" t="str">
        <f>IF(wp3type="P","+"&amp;wp3dmgbonus,(IF((strmod+wp3dmgbonus)&gt;0,"+"&amp;(strmod+wp3dmgbonus),IF((strmod+wp3dmgbonus)&lt;0,(strmod+wp3dmgbonus),""))))</f>
        <v>+1</v>
      </c>
      <c r="Z31" s="42"/>
      <c r="AH31" s="1"/>
      <c r="AI31" s="1"/>
      <c r="AJ31" s="1"/>
      <c r="AK31" s="1"/>
      <c r="AL31" s="1"/>
      <c r="AM31" s="1"/>
      <c r="AN31" s="1"/>
    </row>
    <row r="32" spans="1:26" ht="18.75" customHeight="1">
      <c r="A32" s="78" t="s">
        <v>183</v>
      </c>
      <c r="B32" s="104"/>
      <c r="C32" s="104" t="s">
        <v>208</v>
      </c>
      <c r="D32" s="123">
        <f t="shared" si="0"/>
        <v>2</v>
      </c>
      <c r="E32" s="66">
        <f t="shared" si="2"/>
        <v>2</v>
      </c>
      <c r="F32" s="66"/>
      <c r="G32" s="66"/>
      <c r="H32" s="66"/>
      <c r="I32" s="66"/>
      <c r="J32" s="52"/>
      <c r="K32" s="52"/>
      <c r="L32" s="52"/>
      <c r="M32" s="459">
        <v>76</v>
      </c>
      <c r="N32" s="19"/>
      <c r="O32" s="57"/>
      <c r="P32" s="86" t="s">
        <v>203</v>
      </c>
      <c r="Q32" s="86"/>
      <c r="R32" s="86"/>
      <c r="S32" s="86" t="s">
        <v>202</v>
      </c>
      <c r="T32" s="86"/>
      <c r="U32" s="86"/>
      <c r="V32" s="86"/>
      <c r="W32" s="86" t="s">
        <v>318</v>
      </c>
      <c r="X32" s="86"/>
      <c r="Y32" s="86" t="s">
        <v>205</v>
      </c>
      <c r="Z32" s="158"/>
    </row>
    <row r="33" spans="1:26" ht="18.75" customHeight="1">
      <c r="A33" s="78" t="s">
        <v>184</v>
      </c>
      <c r="B33" s="104"/>
      <c r="C33" s="104" t="s">
        <v>213</v>
      </c>
      <c r="D33" s="123">
        <f t="shared" si="0"/>
        <v>1</v>
      </c>
      <c r="E33" s="66">
        <f t="shared" si="2"/>
        <v>1</v>
      </c>
      <c r="F33" s="66"/>
      <c r="G33" s="66">
        <f>IF(armor1type="n",IF(armor2type="n",IF(totalweight&lt;Lightweight,0,IF(totalweight&lt;Mediumweight,mediumcheckpen,heavycheckpen)),IF(totalweight&lt;Lightweight,$AK$29,IF(totalweight&lt;Mediumweight,IF(mediumcheckpen&lt;$AK$29,mediumcheckpen,$AK$29),IF(heavycheckpen&lt;$AK$29,heavycheckpen,$AK$29)))),IF(totalweight&lt;Lightweight,(Armor1checkpen+$AK$29),IF(totalweight&lt;Mediumweight,IF(mediumcheckpen&lt;(Armor1checkpen+$AK$29),mediumcheckpen,(Armor1checkpen+$AK$29)),IF(heavycheckpen&lt;(Armor1checkpen+$AK$29),heavycheckpen,(Armor1checkpen+$AK$29)))))</f>
        <v>0</v>
      </c>
      <c r="H33" s="66"/>
      <c r="I33" s="66"/>
      <c r="J33" s="52"/>
      <c r="K33" s="52"/>
      <c r="L33" s="52"/>
      <c r="M33" s="460">
        <v>77</v>
      </c>
      <c r="N33" s="19"/>
      <c r="O33" s="96"/>
      <c r="P33" s="106" t="s">
        <v>204</v>
      </c>
      <c r="Q33" s="106"/>
      <c r="R33" s="106"/>
      <c r="S33" s="106"/>
      <c r="T33" s="106"/>
      <c r="U33" s="106"/>
      <c r="V33" s="106"/>
      <c r="W33" s="106"/>
      <c r="X33" s="106"/>
      <c r="Y33" s="106"/>
      <c r="Z33" s="130"/>
    </row>
    <row r="34" spans="1:26" ht="18.75" customHeight="1">
      <c r="A34" s="78" t="s">
        <v>185</v>
      </c>
      <c r="B34" s="104"/>
      <c r="C34" s="104" t="s">
        <v>211</v>
      </c>
      <c r="D34" s="123">
        <f t="shared" si="0"/>
        <v>6</v>
      </c>
      <c r="E34" s="66">
        <f t="shared" si="2"/>
        <v>4</v>
      </c>
      <c r="F34" s="66"/>
      <c r="G34" s="66"/>
      <c r="H34" s="66">
        <v>2</v>
      </c>
      <c r="I34" s="455"/>
      <c r="J34" s="457" t="s">
        <v>1220</v>
      </c>
      <c r="K34" s="457"/>
      <c r="L34" s="457"/>
      <c r="M34" s="458">
        <v>78</v>
      </c>
      <c r="N34" s="19"/>
      <c r="O34" s="23"/>
      <c r="P34" s="107" t="s">
        <v>320</v>
      </c>
      <c r="Q34" s="19"/>
      <c r="R34" s="17"/>
      <c r="S34" s="17"/>
      <c r="T34" s="17"/>
      <c r="U34" s="17"/>
      <c r="V34" s="23"/>
      <c r="W34" s="23"/>
      <c r="X34" s="23"/>
      <c r="Y34" s="23"/>
      <c r="Z34" s="23"/>
    </row>
    <row r="35" spans="1:26" ht="18.75" customHeight="1">
      <c r="A35" s="452" t="s">
        <v>186</v>
      </c>
      <c r="B35" s="453"/>
      <c r="C35" s="453" t="s">
        <v>210</v>
      </c>
      <c r="D35" s="454">
        <f t="shared" si="0"/>
        <v>3</v>
      </c>
      <c r="E35" s="455">
        <f t="shared" si="2"/>
        <v>3</v>
      </c>
      <c r="F35" s="455"/>
      <c r="G35" s="455">
        <f>IF(armor1type="n",IF(armor2type="n",IF(totalweight&lt;Lightweight,0,IF(totalweight&lt;Mediumweight,mediumcheckpen,heavycheckpen)),IF(totalweight&lt;Lightweight,$AK$29,IF(totalweight&lt;Mediumweight,IF(mediumcheckpen&lt;$AK$29,mediumcheckpen,$AK$29),IF(heavycheckpen&lt;$AK$29,heavycheckpen,$AK$29)))),IF(totalweight&lt;Lightweight,(Armor1checkpen+$AK$29),IF(totalweight&lt;Mediumweight,IF(mediumcheckpen&lt;(Armor1checkpen+$AK$29),mediumcheckpen,(Armor1checkpen+$AK$29)),IF(heavycheckpen&lt;(Armor1checkpen+$AK$29),heavycheckpen,(Armor1checkpen+$AK$29)))))</f>
        <v>0</v>
      </c>
      <c r="H35" s="455"/>
      <c r="I35" s="455"/>
      <c r="J35" s="457"/>
      <c r="K35" s="457"/>
      <c r="L35" s="457"/>
      <c r="M35" s="458">
        <v>79</v>
      </c>
      <c r="N35" s="19"/>
      <c r="O35" s="17"/>
      <c r="P35" s="19"/>
      <c r="Q35" s="19"/>
      <c r="R35" s="19"/>
      <c r="S35" s="19"/>
      <c r="T35" s="19"/>
      <c r="U35" s="17"/>
      <c r="V35" s="17"/>
      <c r="W35" s="17"/>
      <c r="X35" s="17"/>
      <c r="Y35" s="17"/>
      <c r="Z35" s="17"/>
    </row>
    <row r="36" spans="1:26" ht="18.75" customHeight="1">
      <c r="A36" s="452" t="s">
        <v>187</v>
      </c>
      <c r="B36" s="453"/>
      <c r="C36" s="453" t="s">
        <v>208</v>
      </c>
      <c r="D36" s="454">
        <f t="shared" si="0"/>
        <v>2</v>
      </c>
      <c r="E36" s="455">
        <f t="shared" si="2"/>
        <v>2</v>
      </c>
      <c r="F36" s="455"/>
      <c r="G36" s="455"/>
      <c r="H36" s="455"/>
      <c r="I36" s="455"/>
      <c r="J36" s="457"/>
      <c r="K36" s="457"/>
      <c r="L36" s="457"/>
      <c r="M36" s="458">
        <v>79</v>
      </c>
      <c r="N36" s="19"/>
      <c r="O36" s="47"/>
      <c r="P36" s="22"/>
      <c r="Q36" s="108"/>
      <c r="R36" s="22"/>
      <c r="S36" s="50" t="s">
        <v>231</v>
      </c>
      <c r="T36" s="50" t="s">
        <v>215</v>
      </c>
      <c r="U36" s="191"/>
      <c r="V36" s="50" t="s">
        <v>170</v>
      </c>
      <c r="W36" s="50" t="s">
        <v>217</v>
      </c>
      <c r="X36" s="50" t="s">
        <v>216</v>
      </c>
      <c r="Y36" s="50"/>
      <c r="Z36" s="192" t="s">
        <v>196</v>
      </c>
    </row>
    <row r="37" spans="1:27" ht="18.75" customHeight="1">
      <c r="A37" s="78" t="s">
        <v>188</v>
      </c>
      <c r="B37" s="104"/>
      <c r="C37" s="104" t="s">
        <v>210</v>
      </c>
      <c r="D37" s="123">
        <f t="shared" si="0"/>
        <v>3</v>
      </c>
      <c r="E37" s="66">
        <f t="shared" si="2"/>
        <v>3</v>
      </c>
      <c r="F37" s="66"/>
      <c r="G37" s="66"/>
      <c r="H37" s="66"/>
      <c r="I37" s="66"/>
      <c r="J37" s="52"/>
      <c r="K37" s="52"/>
      <c r="L37" s="52"/>
      <c r="M37" s="460">
        <v>80</v>
      </c>
      <c r="N37" s="19"/>
      <c r="O37" s="500" t="s">
        <v>34</v>
      </c>
      <c r="P37" s="488"/>
      <c r="Q37" s="488"/>
      <c r="R37" s="488"/>
      <c r="S37" s="241" t="s">
        <v>333</v>
      </c>
      <c r="T37" s="241">
        <v>5</v>
      </c>
      <c r="U37" s="241"/>
      <c r="V37" s="241">
        <v>4</v>
      </c>
      <c r="W37" s="241">
        <v>0</v>
      </c>
      <c r="X37" s="489" t="s">
        <v>336</v>
      </c>
      <c r="Y37" s="241"/>
      <c r="Z37" s="487">
        <v>20</v>
      </c>
      <c r="AA37" s="19"/>
    </row>
    <row r="38" spans="1:26" ht="18.75" customHeight="1">
      <c r="A38" s="78" t="s">
        <v>189</v>
      </c>
      <c r="B38" s="104"/>
      <c r="C38" s="104" t="s">
        <v>207</v>
      </c>
      <c r="D38" s="123">
        <f t="shared" si="0"/>
        <v>4</v>
      </c>
      <c r="E38" s="66">
        <f t="shared" si="2"/>
        <v>2</v>
      </c>
      <c r="F38" s="66"/>
      <c r="G38" s="66"/>
      <c r="H38" s="66">
        <v>2</v>
      </c>
      <c r="I38" s="455"/>
      <c r="J38" s="457" t="s">
        <v>552</v>
      </c>
      <c r="K38" s="457"/>
      <c r="L38" s="457"/>
      <c r="M38" s="458">
        <v>81</v>
      </c>
      <c r="N38" s="19"/>
      <c r="O38" s="19"/>
      <c r="P38" s="107" t="s">
        <v>232</v>
      </c>
      <c r="Q38" s="19"/>
      <c r="R38" s="19"/>
      <c r="S38" s="19"/>
      <c r="T38" s="19"/>
      <c r="U38" s="19"/>
      <c r="V38" s="19"/>
      <c r="W38" s="19"/>
      <c r="X38" s="19"/>
      <c r="Y38" s="19"/>
      <c r="Z38" s="19"/>
    </row>
    <row r="39" spans="1:26" ht="18.75" customHeight="1">
      <c r="A39" s="452" t="s">
        <v>190</v>
      </c>
      <c r="B39" s="453"/>
      <c r="C39" s="453" t="s">
        <v>211</v>
      </c>
      <c r="D39" s="454">
        <f t="shared" si="0"/>
        <v>4</v>
      </c>
      <c r="E39" s="455">
        <f t="shared" si="2"/>
        <v>4</v>
      </c>
      <c r="F39" s="455"/>
      <c r="G39" s="455"/>
      <c r="H39" s="455"/>
      <c r="I39" s="455"/>
      <c r="J39" s="457"/>
      <c r="K39" s="457"/>
      <c r="L39" s="457"/>
      <c r="M39" s="458">
        <v>81</v>
      </c>
      <c r="N39" s="19"/>
      <c r="O39" s="23"/>
      <c r="P39" s="19"/>
      <c r="Q39" s="23"/>
      <c r="R39" s="23"/>
      <c r="S39" s="55"/>
      <c r="T39" s="23"/>
      <c r="U39" s="23"/>
      <c r="V39" s="23"/>
      <c r="W39" s="23"/>
      <c r="X39" s="23"/>
      <c r="Y39" s="23"/>
      <c r="Z39" s="23"/>
    </row>
    <row r="40" spans="1:26" ht="18.75" customHeight="1">
      <c r="A40" s="78" t="s">
        <v>191</v>
      </c>
      <c r="B40" s="104"/>
      <c r="C40" s="104" t="s">
        <v>211</v>
      </c>
      <c r="D40" s="123">
        <f t="shared" si="0"/>
        <v>6</v>
      </c>
      <c r="E40" s="66">
        <f t="shared" si="2"/>
        <v>4</v>
      </c>
      <c r="F40" s="66"/>
      <c r="G40" s="66"/>
      <c r="H40" s="66">
        <v>2</v>
      </c>
      <c r="I40" s="455"/>
      <c r="J40" s="457" t="s">
        <v>548</v>
      </c>
      <c r="K40" s="457"/>
      <c r="L40" s="457"/>
      <c r="M40" s="458">
        <v>83</v>
      </c>
      <c r="N40" s="19"/>
      <c r="O40" s="109"/>
      <c r="P40" s="75"/>
      <c r="Q40" s="103"/>
      <c r="R40" s="110" t="s">
        <v>197</v>
      </c>
      <c r="S40" s="110" t="s">
        <v>230</v>
      </c>
      <c r="T40" s="111" t="s">
        <v>198</v>
      </c>
      <c r="U40" s="112"/>
      <c r="V40" s="74" t="s">
        <v>225</v>
      </c>
      <c r="W40" s="22"/>
      <c r="X40" s="75"/>
      <c r="Y40" s="22"/>
      <c r="Z40" s="76" t="s">
        <v>196</v>
      </c>
    </row>
    <row r="41" spans="1:26" ht="18.75" customHeight="1">
      <c r="A41" s="78" t="s">
        <v>308</v>
      </c>
      <c r="B41" s="104"/>
      <c r="C41" s="104" t="s">
        <v>211</v>
      </c>
      <c r="D41" s="123">
        <f>+E41+F41+H41+G41</f>
        <v>8</v>
      </c>
      <c r="E41" s="66">
        <f>IF(C41="Int",intmod,IF(C41="Dex",dexmod,IF(C41="Cha",chamod,IF(C41="Str",strmod,IF(C41="Con",conmod,wismod)))))</f>
        <v>4</v>
      </c>
      <c r="F41" s="66">
        <v>2</v>
      </c>
      <c r="G41" s="66"/>
      <c r="H41" s="66">
        <v>2</v>
      </c>
      <c r="I41" s="52" t="s">
        <v>6</v>
      </c>
      <c r="K41" s="52"/>
      <c r="L41" s="52"/>
      <c r="M41" s="459">
        <v>83</v>
      </c>
      <c r="N41" s="19"/>
      <c r="O41" s="68" t="s">
        <v>196</v>
      </c>
      <c r="P41" s="65"/>
      <c r="Q41" s="65"/>
      <c r="R41" s="66">
        <f>LOOKUP(str,AC14:AD26)</f>
        <v>43</v>
      </c>
      <c r="S41" s="66">
        <f>LOOKUP(str,AC14:AE26)</f>
        <v>86</v>
      </c>
      <c r="T41" s="67">
        <f>LOOKUP(str,AC14:AF26)</f>
        <v>130</v>
      </c>
      <c r="U41" s="23"/>
      <c r="V41" s="77" t="s">
        <v>479</v>
      </c>
      <c r="W41" s="65"/>
      <c r="X41" s="65"/>
      <c r="Y41" s="66"/>
      <c r="Z41" s="67">
        <v>2</v>
      </c>
    </row>
    <row r="42" spans="1:26" ht="18.75" customHeight="1">
      <c r="A42" s="78" t="s">
        <v>192</v>
      </c>
      <c r="B42" s="104"/>
      <c r="C42" s="104" t="s">
        <v>213</v>
      </c>
      <c r="D42" s="123">
        <f t="shared" si="0"/>
        <v>7</v>
      </c>
      <c r="E42" s="66">
        <f t="shared" si="2"/>
        <v>1</v>
      </c>
      <c r="F42" s="66">
        <v>1</v>
      </c>
      <c r="G42" s="66">
        <f>2*(IF(armor1type="n",IF(armor2type="n",IF(totalweight&lt;Lightweight,0,IF(totalweight&lt;Mediumweight,mediumcheckpen,heavycheckpen)),IF(totalweight&lt;Lightweight,$AK$29,IF(totalweight&lt;Mediumweight,IF(mediumcheckpen&lt;$AK$29,mediumcheckpen,$AK$29),IF(heavycheckpen&lt;$AK$29,heavycheckpen,$AK$29)))),IF(totalweight&lt;Lightweight,(Armor1checkpen+$AK$29),IF(totalweight&lt;Mediumweight,IF(mediumcheckpen&lt;(Armor1checkpen+$AK$29),mediumcheckpen,(Armor1checkpen+$AK$29)),IF(heavycheckpen&lt;(Armor1checkpen+$AK$29),heavycheckpen,(Armor1checkpen+$AK$29))))))</f>
        <v>0</v>
      </c>
      <c r="H42" s="66"/>
      <c r="I42" s="66">
        <v>5</v>
      </c>
      <c r="J42" s="52" t="s">
        <v>30</v>
      </c>
      <c r="K42" s="52"/>
      <c r="L42" s="52"/>
      <c r="M42" s="459">
        <v>84</v>
      </c>
      <c r="N42" s="19"/>
      <c r="O42" s="68" t="s">
        <v>194</v>
      </c>
      <c r="P42" s="65"/>
      <c r="Q42" s="65"/>
      <c r="R42" s="66">
        <v>30</v>
      </c>
      <c r="S42" s="66">
        <v>30</v>
      </c>
      <c r="T42" s="67">
        <v>20</v>
      </c>
      <c r="U42" s="23"/>
      <c r="V42" s="77" t="s">
        <v>538</v>
      </c>
      <c r="W42" s="65"/>
      <c r="X42" s="65"/>
      <c r="Y42" s="66"/>
      <c r="Z42" s="288">
        <v>2</v>
      </c>
    </row>
    <row r="43" spans="1:35" ht="18.75" customHeight="1">
      <c r="A43" s="78" t="s">
        <v>193</v>
      </c>
      <c r="B43" s="104"/>
      <c r="C43" s="104" t="s">
        <v>210</v>
      </c>
      <c r="D43" s="123">
        <f t="shared" si="0"/>
        <v>4</v>
      </c>
      <c r="E43" s="66">
        <f t="shared" si="2"/>
        <v>3</v>
      </c>
      <c r="F43" s="66">
        <v>1</v>
      </c>
      <c r="G43" s="66"/>
      <c r="H43" s="66"/>
      <c r="I43" s="66"/>
      <c r="J43" s="52"/>
      <c r="K43" s="52"/>
      <c r="L43" s="52"/>
      <c r="M43" s="459">
        <v>86</v>
      </c>
      <c r="N43" s="19"/>
      <c r="O43" s="68" t="s">
        <v>195</v>
      </c>
      <c r="P43" s="65"/>
      <c r="Q43" s="65"/>
      <c r="R43" s="66" t="s">
        <v>222</v>
      </c>
      <c r="S43" s="66" t="s">
        <v>222</v>
      </c>
      <c r="T43" s="67" t="s">
        <v>223</v>
      </c>
      <c r="U43" s="23"/>
      <c r="V43" s="77" t="s">
        <v>536</v>
      </c>
      <c r="W43" s="65"/>
      <c r="X43" s="65"/>
      <c r="Y43" s="66"/>
      <c r="Z43" s="288">
        <v>4</v>
      </c>
      <c r="AC43" s="20"/>
      <c r="AD43" s="21"/>
      <c r="AE43" s="21"/>
      <c r="AF43" s="21"/>
      <c r="AG43" s="34" t="s">
        <v>259</v>
      </c>
      <c r="AH43" s="21"/>
      <c r="AI43" s="28"/>
    </row>
    <row r="44" spans="1:35" ht="18.75" customHeight="1">
      <c r="A44" s="78"/>
      <c r="B44" s="104"/>
      <c r="C44" s="104"/>
      <c r="D44" s="123"/>
      <c r="E44" s="66"/>
      <c r="F44" s="66"/>
      <c r="G44" s="66"/>
      <c r="H44" s="66"/>
      <c r="I44" s="66"/>
      <c r="J44" s="52"/>
      <c r="K44" s="52"/>
      <c r="L44" s="52"/>
      <c r="M44" s="85"/>
      <c r="N44" s="19"/>
      <c r="O44" s="64" t="s">
        <v>257</v>
      </c>
      <c r="P44" s="65"/>
      <c r="Q44" s="65"/>
      <c r="R44" s="66">
        <v>0</v>
      </c>
      <c r="S44" s="66">
        <v>3</v>
      </c>
      <c r="T44" s="67">
        <v>1</v>
      </c>
      <c r="U44" s="23"/>
      <c r="V44" s="77" t="s">
        <v>335</v>
      </c>
      <c r="W44" s="65"/>
      <c r="X44" s="65"/>
      <c r="Y44" s="66"/>
      <c r="Z44" s="67">
        <v>2</v>
      </c>
      <c r="AC44" s="15"/>
      <c r="AD44" s="5" t="s">
        <v>257</v>
      </c>
      <c r="AE44" s="5" t="s">
        <v>258</v>
      </c>
      <c r="AF44" s="5"/>
      <c r="AG44" s="5" t="s">
        <v>260</v>
      </c>
      <c r="AH44" s="5" t="s">
        <v>261</v>
      </c>
      <c r="AI44" s="10" t="s">
        <v>195</v>
      </c>
    </row>
    <row r="45" spans="1:35" ht="18.75" customHeight="1">
      <c r="A45" s="78" t="s">
        <v>542</v>
      </c>
      <c r="B45" s="104"/>
      <c r="C45" s="104" t="s">
        <v>339</v>
      </c>
      <c r="D45" s="123">
        <f>+E45+F45+H45+I45+G45</f>
        <v>7</v>
      </c>
      <c r="E45" s="66">
        <f aca="true" t="shared" si="3" ref="E45:E50">IF(C45="Int",intmod,IF(C45="Dex",dexmod,IF(C45="Cha",chamod,IF(C45="Str",strmod,IF(C45="Con",conmod,wismod)))))</f>
        <v>2</v>
      </c>
      <c r="F45" s="66">
        <f>4+1</f>
        <v>5</v>
      </c>
      <c r="G45" s="66"/>
      <c r="H45" s="66"/>
      <c r="I45" s="66"/>
      <c r="J45" s="52" t="s">
        <v>106</v>
      </c>
      <c r="K45" s="52"/>
      <c r="L45" s="52"/>
      <c r="M45" s="463">
        <v>78</v>
      </c>
      <c r="N45" s="19"/>
      <c r="O45" s="64" t="s">
        <v>269</v>
      </c>
      <c r="P45" s="65"/>
      <c r="Q45" s="65"/>
      <c r="R45" s="66">
        <v>0</v>
      </c>
      <c r="S45" s="66">
        <v>-3</v>
      </c>
      <c r="T45" s="67">
        <v>-6</v>
      </c>
      <c r="U45" s="538">
        <f>IF(T46&lt;0,"!","")</f>
      </c>
      <c r="V45" s="77" t="s">
        <v>534</v>
      </c>
      <c r="W45" s="65"/>
      <c r="X45" s="65"/>
      <c r="Y45" s="66"/>
      <c r="Z45" s="288" t="s">
        <v>336</v>
      </c>
      <c r="AC45" s="15" t="s">
        <v>230</v>
      </c>
      <c r="AD45" s="5">
        <v>3</v>
      </c>
      <c r="AE45" s="5">
        <v>-3</v>
      </c>
      <c r="AF45" s="5"/>
      <c r="AG45" s="5">
        <v>20</v>
      </c>
      <c r="AH45" s="5">
        <v>15</v>
      </c>
      <c r="AI45" s="10" t="s">
        <v>222</v>
      </c>
    </row>
    <row r="46" spans="1:35" ht="18.75" customHeight="1">
      <c r="A46" s="78" t="s">
        <v>543</v>
      </c>
      <c r="B46" s="104"/>
      <c r="C46" s="104" t="s">
        <v>339</v>
      </c>
      <c r="D46" s="123">
        <f>+E46+F46+H46+I46+G46</f>
        <v>9</v>
      </c>
      <c r="E46" s="66">
        <f t="shared" si="3"/>
        <v>2</v>
      </c>
      <c r="F46" s="66">
        <f>3+2+2</f>
        <v>7</v>
      </c>
      <c r="G46" s="66"/>
      <c r="H46" s="66"/>
      <c r="I46" s="66"/>
      <c r="J46" s="491" t="s">
        <v>19</v>
      </c>
      <c r="K46" s="52"/>
      <c r="L46" s="52"/>
      <c r="M46" s="464">
        <v>78</v>
      </c>
      <c r="N46" s="19"/>
      <c r="O46" s="68" t="s">
        <v>306</v>
      </c>
      <c r="P46" s="69"/>
      <c r="Q46" s="69"/>
      <c r="R46" s="70" t="str">
        <f>IF(totalweight&lt;=Lightweight,"Light",Lightweight-totalweight)</f>
        <v>Light</v>
      </c>
      <c r="S46" s="70">
        <f>IF(totalweight&gt;Lightweight,IF(totalweight&lt;=Mediumweight,"Medium",Mediumweight-totalweight),Lightweight-totalweight)</f>
        <v>5</v>
      </c>
      <c r="T46" s="71">
        <f>IF(totalweight&gt;Mediumweight,IF(totalweight&lt;=Heavyweight,"Heavy",Heavyweight-totalweight),Mediumweight-totalweight)</f>
        <v>48</v>
      </c>
      <c r="U46" s="538"/>
      <c r="V46" s="77" t="s">
        <v>537</v>
      </c>
      <c r="W46" s="65"/>
      <c r="X46" s="65"/>
      <c r="Y46" s="66"/>
      <c r="Z46" s="288" t="s">
        <v>336</v>
      </c>
      <c r="AC46" s="16" t="s">
        <v>198</v>
      </c>
      <c r="AD46" s="6">
        <v>1</v>
      </c>
      <c r="AE46" s="6">
        <v>-6</v>
      </c>
      <c r="AF46" s="6"/>
      <c r="AG46" s="6">
        <v>20</v>
      </c>
      <c r="AH46" s="6">
        <v>15</v>
      </c>
      <c r="AI46" s="11" t="s">
        <v>223</v>
      </c>
    </row>
    <row r="47" spans="1:26" ht="18.75" customHeight="1">
      <c r="A47" s="78" t="s">
        <v>544</v>
      </c>
      <c r="B47" s="104"/>
      <c r="C47" s="104" t="s">
        <v>339</v>
      </c>
      <c r="D47" s="123">
        <f>+E47+F47+H47+I47+G47</f>
        <v>7</v>
      </c>
      <c r="E47" s="66">
        <f t="shared" si="3"/>
        <v>2</v>
      </c>
      <c r="F47" s="66">
        <f>3+2</f>
        <v>5</v>
      </c>
      <c r="G47" s="66"/>
      <c r="H47" s="66"/>
      <c r="I47" s="66"/>
      <c r="J47" s="491" t="s">
        <v>107</v>
      </c>
      <c r="K47" s="52"/>
      <c r="L47" s="52"/>
      <c r="M47" s="464">
        <v>78</v>
      </c>
      <c r="N47" s="19"/>
      <c r="O47" s="60"/>
      <c r="P47" s="72"/>
      <c r="Q47" s="72"/>
      <c r="R47" s="72"/>
      <c r="S47" s="65"/>
      <c r="T47" s="73"/>
      <c r="U47" s="538"/>
      <c r="V47" s="77" t="s">
        <v>539</v>
      </c>
      <c r="W47" s="65"/>
      <c r="X47" s="65"/>
      <c r="Z47" s="288" t="s">
        <v>336</v>
      </c>
    </row>
    <row r="48" spans="1:26" ht="18.75" customHeight="1">
      <c r="A48" s="78" t="s">
        <v>340</v>
      </c>
      <c r="B48" s="104"/>
      <c r="C48" s="104" t="s">
        <v>339</v>
      </c>
      <c r="D48" s="123">
        <f>+E48+F48+H48+I48+G48</f>
        <v>4</v>
      </c>
      <c r="E48" s="66">
        <f t="shared" si="3"/>
        <v>2</v>
      </c>
      <c r="F48" s="66">
        <f>1+1</f>
        <v>2</v>
      </c>
      <c r="G48" s="66"/>
      <c r="H48" s="66"/>
      <c r="I48" s="66"/>
      <c r="J48" s="491" t="s">
        <v>108</v>
      </c>
      <c r="K48" s="52"/>
      <c r="L48" s="52"/>
      <c r="M48" s="463">
        <v>78</v>
      </c>
      <c r="N48" s="19"/>
      <c r="O48" s="77" t="s">
        <v>254</v>
      </c>
      <c r="P48" s="65"/>
      <c r="Q48" s="65"/>
      <c r="R48" s="65">
        <f>Heavyweight</f>
        <v>130</v>
      </c>
      <c r="S48" s="65"/>
      <c r="T48" s="73"/>
      <c r="U48" s="23"/>
      <c r="V48" s="68" t="s">
        <v>14</v>
      </c>
      <c r="W48" s="65"/>
      <c r="X48" s="65"/>
      <c r="Y48" s="66"/>
      <c r="Z48" s="288"/>
    </row>
    <row r="49" spans="1:26" ht="18.75" customHeight="1">
      <c r="A49" s="78" t="s">
        <v>545</v>
      </c>
      <c r="B49" s="104"/>
      <c r="C49" s="104" t="s">
        <v>211</v>
      </c>
      <c r="D49" s="123">
        <f t="shared" si="0"/>
        <v>8</v>
      </c>
      <c r="E49" s="66">
        <f t="shared" si="3"/>
        <v>4</v>
      </c>
      <c r="F49" s="66">
        <f>3+1</f>
        <v>4</v>
      </c>
      <c r="G49" s="66"/>
      <c r="H49" s="66"/>
      <c r="I49" s="66"/>
      <c r="J49" s="52"/>
      <c r="K49" s="52"/>
      <c r="L49" s="52"/>
      <c r="M49" s="464">
        <v>79</v>
      </c>
      <c r="N49" s="19"/>
      <c r="O49" s="77" t="s">
        <v>255</v>
      </c>
      <c r="P49" s="65"/>
      <c r="Q49" s="65"/>
      <c r="R49" s="65">
        <f>2*Heavyweight</f>
        <v>260</v>
      </c>
      <c r="S49" s="65"/>
      <c r="T49" s="73"/>
      <c r="U49" s="23"/>
      <c r="V49" s="68" t="s">
        <v>32</v>
      </c>
      <c r="W49" s="65"/>
      <c r="X49" s="65"/>
      <c r="Y49" s="66"/>
      <c r="Z49" s="67"/>
    </row>
    <row r="50" spans="1:26" ht="18.75" customHeight="1">
      <c r="A50" s="78" t="s">
        <v>338</v>
      </c>
      <c r="B50" s="104"/>
      <c r="C50" s="104" t="s">
        <v>339</v>
      </c>
      <c r="D50" s="123">
        <f>+E50+F50+H50+I50+G50</f>
        <v>4</v>
      </c>
      <c r="E50" s="66">
        <f t="shared" si="3"/>
        <v>2</v>
      </c>
      <c r="F50" s="66">
        <f>1+1</f>
        <v>2</v>
      </c>
      <c r="G50" s="66"/>
      <c r="H50" s="66"/>
      <c r="I50" s="66"/>
      <c r="J50" s="465"/>
      <c r="K50" s="52"/>
      <c r="L50" s="52"/>
      <c r="M50" s="463">
        <v>82</v>
      </c>
      <c r="N50" s="19"/>
      <c r="O50" s="113" t="s">
        <v>256</v>
      </c>
      <c r="P50" s="114"/>
      <c r="Q50" s="114"/>
      <c r="R50" s="114">
        <f>5*Heavyweight</f>
        <v>650</v>
      </c>
      <c r="S50" s="114"/>
      <c r="T50" s="115"/>
      <c r="U50" s="23"/>
      <c r="V50" s="77" t="s">
        <v>16</v>
      </c>
      <c r="W50" s="65"/>
      <c r="X50" s="65"/>
      <c r="Y50" s="66"/>
      <c r="Z50" s="288"/>
    </row>
    <row r="51" spans="1:26" ht="18.75" customHeight="1">
      <c r="A51" s="78"/>
      <c r="B51" s="104"/>
      <c r="C51" s="104"/>
      <c r="D51" s="123"/>
      <c r="E51" s="66"/>
      <c r="F51" s="66"/>
      <c r="G51" s="66"/>
      <c r="H51" s="66"/>
      <c r="I51" s="66"/>
      <c r="J51" s="52"/>
      <c r="K51" s="52"/>
      <c r="L51" s="52"/>
      <c r="M51" s="179"/>
      <c r="N51" s="19"/>
      <c r="O51" s="65"/>
      <c r="P51" s="65"/>
      <c r="Q51" s="65"/>
      <c r="R51" s="65"/>
      <c r="S51" s="65"/>
      <c r="T51" s="65"/>
      <c r="U51" s="23"/>
      <c r="V51" s="68" t="s">
        <v>103</v>
      </c>
      <c r="W51" s="65"/>
      <c r="X51" s="65"/>
      <c r="Y51" s="66"/>
      <c r="Z51" s="67"/>
    </row>
    <row r="52" spans="1:26" ht="18.75" customHeight="1">
      <c r="A52" s="78"/>
      <c r="B52" s="104"/>
      <c r="C52" s="104"/>
      <c r="D52" s="123"/>
      <c r="E52" s="66"/>
      <c r="F52" s="66"/>
      <c r="G52" s="66"/>
      <c r="H52" s="66"/>
      <c r="I52" s="66"/>
      <c r="J52" s="52"/>
      <c r="K52" s="52"/>
      <c r="L52" s="52"/>
      <c r="M52" s="43"/>
      <c r="N52" s="19"/>
      <c r="O52" s="65"/>
      <c r="P52" s="65"/>
      <c r="Q52" s="65"/>
      <c r="R52" s="65"/>
      <c r="S52" s="65"/>
      <c r="T52" s="65"/>
      <c r="U52" s="23"/>
      <c r="V52" s="68" t="s">
        <v>17</v>
      </c>
      <c r="W52" s="65"/>
      <c r="X52" s="65"/>
      <c r="Y52" s="66"/>
      <c r="Z52" s="67"/>
    </row>
    <row r="53" spans="1:26" ht="18.75" customHeight="1">
      <c r="A53" s="15"/>
      <c r="B53" s="168"/>
      <c r="C53" s="169" t="s">
        <v>540</v>
      </c>
      <c r="D53" s="170">
        <f>+Class1_lvl+3</f>
        <v>6</v>
      </c>
      <c r="E53" s="1"/>
      <c r="F53" s="1"/>
      <c r="G53" s="169" t="s">
        <v>541</v>
      </c>
      <c r="H53" s="170">
        <f>+intmod+2</f>
        <v>4</v>
      </c>
      <c r="I53" s="169" t="s">
        <v>325</v>
      </c>
      <c r="J53" s="170">
        <f>+((intmod+2)*4+4)+((intmod+2)*(Class1_lvl-1))</f>
        <v>28</v>
      </c>
      <c r="K53" s="171"/>
      <c r="L53" s="169" t="s">
        <v>326</v>
      </c>
      <c r="M53" s="172">
        <f>SUM(F20:F51)</f>
        <v>32</v>
      </c>
      <c r="N53" s="19"/>
      <c r="O53" s="47"/>
      <c r="P53" s="177"/>
      <c r="Q53" s="320"/>
      <c r="R53" s="242"/>
      <c r="S53" s="178"/>
      <c r="T53" s="243"/>
      <c r="U53" s="23"/>
      <c r="V53" s="77" t="s">
        <v>18</v>
      </c>
      <c r="W53" s="65"/>
      <c r="X53" s="65"/>
      <c r="Y53" s="66"/>
      <c r="Z53" s="67"/>
    </row>
    <row r="54" spans="1:35" ht="18.75" customHeight="1">
      <c r="A54" s="466"/>
      <c r="B54" s="467"/>
      <c r="C54" s="173" t="s">
        <v>1222</v>
      </c>
      <c r="D54" s="468">
        <f>+Class2_lvl+3</f>
        <v>4</v>
      </c>
      <c r="E54" s="469"/>
      <c r="F54" s="469"/>
      <c r="G54" s="173" t="s">
        <v>0</v>
      </c>
      <c r="H54" s="468">
        <f>+intmod+2</f>
        <v>4</v>
      </c>
      <c r="I54" s="173" t="s">
        <v>325</v>
      </c>
      <c r="J54" s="468">
        <f>+((intmod+2)*(Class2_lvl))</f>
        <v>4</v>
      </c>
      <c r="K54" s="174"/>
      <c r="L54" s="173" t="s">
        <v>327</v>
      </c>
      <c r="M54" s="175">
        <f>+J53+J54</f>
        <v>32</v>
      </c>
      <c r="N54" s="19"/>
      <c r="O54" s="57"/>
      <c r="P54" s="188"/>
      <c r="Q54" s="195"/>
      <c r="R54" s="189"/>
      <c r="S54" s="166"/>
      <c r="T54" s="205"/>
      <c r="U54" s="23"/>
      <c r="V54" s="68" t="s">
        <v>29</v>
      </c>
      <c r="W54" s="65"/>
      <c r="X54" s="65"/>
      <c r="Y54" s="66"/>
      <c r="Z54" s="67"/>
      <c r="AC54" s="24" t="s">
        <v>171</v>
      </c>
      <c r="AD54" s="35" t="s">
        <v>249</v>
      </c>
      <c r="AE54" s="35" t="s">
        <v>250</v>
      </c>
      <c r="AF54" s="35" t="s">
        <v>251</v>
      </c>
      <c r="AG54" s="35" t="s">
        <v>252</v>
      </c>
      <c r="AH54" s="35" t="s">
        <v>253</v>
      </c>
      <c r="AI54" s="35" t="s">
        <v>196</v>
      </c>
    </row>
    <row r="55" spans="1:35" ht="18.75" customHeight="1">
      <c r="A55" s="23"/>
      <c r="B55" s="19"/>
      <c r="C55" s="23"/>
      <c r="D55" s="23"/>
      <c r="E55" s="23"/>
      <c r="F55" s="23"/>
      <c r="G55" s="23"/>
      <c r="H55" s="55"/>
      <c r="I55" s="23"/>
      <c r="J55" s="23"/>
      <c r="K55" s="23"/>
      <c r="L55" s="19"/>
      <c r="M55" s="19"/>
      <c r="N55" s="19"/>
      <c r="O55" s="196"/>
      <c r="P55" s="195"/>
      <c r="Q55" s="195"/>
      <c r="R55" s="194"/>
      <c r="S55" s="195"/>
      <c r="T55" s="197"/>
      <c r="U55" s="23"/>
      <c r="V55" s="78" t="s">
        <v>128</v>
      </c>
      <c r="W55" s="65"/>
      <c r="Y55" s="66"/>
      <c r="Z55" s="67"/>
      <c r="AC55" s="30" t="s">
        <v>237</v>
      </c>
      <c r="AD55" s="4">
        <v>1</v>
      </c>
      <c r="AE55" s="4">
        <v>8</v>
      </c>
      <c r="AF55" s="4">
        <v>0</v>
      </c>
      <c r="AG55" s="32">
        <v>0.05</v>
      </c>
      <c r="AH55" s="4"/>
      <c r="AI55" s="4">
        <v>10</v>
      </c>
    </row>
    <row r="56" spans="1:35" ht="18.75" customHeight="1">
      <c r="A56" s="19"/>
      <c r="B56" s="19"/>
      <c r="C56" s="19"/>
      <c r="D56" s="19"/>
      <c r="E56" s="19"/>
      <c r="F56" s="19"/>
      <c r="G56" s="19"/>
      <c r="H56" s="19"/>
      <c r="I56" s="19"/>
      <c r="J56" s="19"/>
      <c r="K56" s="19"/>
      <c r="L56" s="19"/>
      <c r="M56" s="19"/>
      <c r="N56" s="19"/>
      <c r="O56" s="199"/>
      <c r="P56" s="1"/>
      <c r="Q56" s="1"/>
      <c r="R56" s="1"/>
      <c r="S56" s="1"/>
      <c r="T56" s="206"/>
      <c r="U56" s="23"/>
      <c r="V56" s="78" t="s">
        <v>129</v>
      </c>
      <c r="W56" s="65"/>
      <c r="Y56" s="66"/>
      <c r="Z56" s="288"/>
      <c r="AC56" s="30" t="s">
        <v>238</v>
      </c>
      <c r="AD56" s="4">
        <v>2</v>
      </c>
      <c r="AE56" s="4">
        <v>6</v>
      </c>
      <c r="AF56" s="4">
        <v>0</v>
      </c>
      <c r="AG56" s="32">
        <v>0.1</v>
      </c>
      <c r="AH56" s="4"/>
      <c r="AI56" s="4">
        <v>15</v>
      </c>
    </row>
    <row r="57" spans="1:35" ht="18.75" customHeight="1">
      <c r="A57" s="116" t="s">
        <v>219</v>
      </c>
      <c r="B57" s="135"/>
      <c r="C57" s="117"/>
      <c r="D57" s="117"/>
      <c r="E57" s="117" t="s">
        <v>220</v>
      </c>
      <c r="F57" s="135"/>
      <c r="G57" s="135"/>
      <c r="H57" s="135"/>
      <c r="I57" s="135"/>
      <c r="J57" s="135"/>
      <c r="K57" s="135"/>
      <c r="L57" s="135"/>
      <c r="M57" s="136"/>
      <c r="N57" s="19"/>
      <c r="O57" s="198"/>
      <c r="P57" s="166"/>
      <c r="Q57" s="142"/>
      <c r="R57" s="142"/>
      <c r="S57" s="142"/>
      <c r="T57" s="407"/>
      <c r="U57" s="23"/>
      <c r="V57" s="68" t="s">
        <v>33</v>
      </c>
      <c r="W57" s="65"/>
      <c r="X57" s="65"/>
      <c r="Y57" s="66"/>
      <c r="Z57" s="67"/>
      <c r="AC57" s="30" t="s">
        <v>239</v>
      </c>
      <c r="AD57" s="4">
        <v>3</v>
      </c>
      <c r="AE57" s="4">
        <v>5</v>
      </c>
      <c r="AF57" s="4">
        <v>-1</v>
      </c>
      <c r="AG57" s="32">
        <v>0.15</v>
      </c>
      <c r="AH57" s="4"/>
      <c r="AI57" s="4">
        <v>20</v>
      </c>
    </row>
    <row r="58" spans="1:35" ht="18.75" customHeight="1">
      <c r="A58" s="137" t="s">
        <v>329</v>
      </c>
      <c r="B58" s="132"/>
      <c r="C58" s="131"/>
      <c r="D58" s="138" t="s">
        <v>531</v>
      </c>
      <c r="E58" s="131" t="s">
        <v>530</v>
      </c>
      <c r="F58" s="132"/>
      <c r="G58" s="132"/>
      <c r="H58" s="132"/>
      <c r="I58" s="132"/>
      <c r="J58" s="132"/>
      <c r="K58" s="132"/>
      <c r="L58" s="132"/>
      <c r="M58" s="133"/>
      <c r="N58" s="19"/>
      <c r="O58" s="198"/>
      <c r="P58" s="166"/>
      <c r="Q58" s="142"/>
      <c r="R58" s="281"/>
      <c r="S58" s="142"/>
      <c r="T58" s="407"/>
      <c r="U58" s="23"/>
      <c r="V58" s="68" t="s">
        <v>35</v>
      </c>
      <c r="W58" s="65"/>
      <c r="X58" s="65"/>
      <c r="Y58" s="66"/>
      <c r="Z58" s="67"/>
      <c r="AC58" s="30" t="s">
        <v>240</v>
      </c>
      <c r="AD58" s="4">
        <v>4</v>
      </c>
      <c r="AE58" s="4">
        <v>4</v>
      </c>
      <c r="AF58" s="4">
        <v>-2</v>
      </c>
      <c r="AG58" s="32">
        <v>0.2</v>
      </c>
      <c r="AH58" s="4"/>
      <c r="AI58" s="4">
        <v>25</v>
      </c>
    </row>
    <row r="59" spans="1:26" ht="18.75" customHeight="1">
      <c r="A59" s="137" t="s">
        <v>549</v>
      </c>
      <c r="B59" s="132"/>
      <c r="C59" s="131"/>
      <c r="D59" s="143" t="s">
        <v>555</v>
      </c>
      <c r="E59" s="131" t="s">
        <v>557</v>
      </c>
      <c r="F59" s="132"/>
      <c r="G59" s="132"/>
      <c r="H59" s="132"/>
      <c r="I59" s="132"/>
      <c r="J59" s="132"/>
      <c r="K59" s="132"/>
      <c r="L59" s="132"/>
      <c r="M59" s="133"/>
      <c r="N59" s="19"/>
      <c r="O59" s="198"/>
      <c r="P59" s="166"/>
      <c r="Q59" s="142"/>
      <c r="R59" s="142"/>
      <c r="S59" s="142"/>
      <c r="T59" s="407"/>
      <c r="U59" s="23"/>
      <c r="V59" s="68" t="s">
        <v>36</v>
      </c>
      <c r="W59" s="65"/>
      <c r="X59" s="65"/>
      <c r="Y59" s="66"/>
      <c r="Z59" s="67"/>
    </row>
    <row r="60" spans="1:35" ht="18.75" customHeight="1">
      <c r="A60" s="137" t="s">
        <v>550</v>
      </c>
      <c r="B60" s="132"/>
      <c r="C60" s="131"/>
      <c r="D60" s="143" t="s">
        <v>556</v>
      </c>
      <c r="E60" s="131" t="s">
        <v>553</v>
      </c>
      <c r="F60" s="132"/>
      <c r="G60" s="132"/>
      <c r="H60" s="132"/>
      <c r="I60" s="132"/>
      <c r="J60" s="132"/>
      <c r="K60" s="132"/>
      <c r="L60" s="132"/>
      <c r="M60" s="133"/>
      <c r="N60" s="19"/>
      <c r="O60" s="198"/>
      <c r="P60" s="166"/>
      <c r="Q60" s="195"/>
      <c r="R60" s="166"/>
      <c r="S60" s="166"/>
      <c r="T60" s="407"/>
      <c r="U60" s="23"/>
      <c r="V60" s="68" t="s">
        <v>37</v>
      </c>
      <c r="W60" s="65"/>
      <c r="X60" s="65"/>
      <c r="Y60" s="66"/>
      <c r="Z60" s="67"/>
      <c r="AC60" s="30" t="s">
        <v>182</v>
      </c>
      <c r="AD60" s="4">
        <v>3</v>
      </c>
      <c r="AE60" s="4">
        <v>4</v>
      </c>
      <c r="AF60" s="4">
        <v>-3</v>
      </c>
      <c r="AG60" s="32">
        <v>0.2</v>
      </c>
      <c r="AH60" s="4"/>
      <c r="AI60" s="4">
        <v>25</v>
      </c>
    </row>
    <row r="61" spans="1:35" ht="18.75" customHeight="1">
      <c r="A61" s="137" t="s">
        <v>551</v>
      </c>
      <c r="B61" s="132"/>
      <c r="C61" s="132"/>
      <c r="D61" s="143" t="s">
        <v>555</v>
      </c>
      <c r="E61" s="131" t="s">
        <v>554</v>
      </c>
      <c r="F61" s="131"/>
      <c r="G61" s="131"/>
      <c r="H61" s="166"/>
      <c r="I61" s="131"/>
      <c r="J61" s="166"/>
      <c r="K61" s="132"/>
      <c r="L61" s="131"/>
      <c r="M61" s="134"/>
      <c r="N61" s="19"/>
      <c r="O61" s="289"/>
      <c r="P61" s="290"/>
      <c r="Q61" s="291"/>
      <c r="R61" s="291"/>
      <c r="S61" s="291"/>
      <c r="T61" s="408"/>
      <c r="U61" s="23"/>
      <c r="V61" s="68" t="s">
        <v>105</v>
      </c>
      <c r="W61" s="65"/>
      <c r="X61" s="65"/>
      <c r="Y61" s="66"/>
      <c r="Z61" s="67"/>
      <c r="AC61" s="30" t="s">
        <v>244</v>
      </c>
      <c r="AD61" s="4">
        <v>4</v>
      </c>
      <c r="AE61" s="4">
        <v>3</v>
      </c>
      <c r="AF61" s="4">
        <v>-4</v>
      </c>
      <c r="AG61" s="32">
        <v>0.25</v>
      </c>
      <c r="AH61" s="4"/>
      <c r="AI61" s="4">
        <v>30</v>
      </c>
    </row>
    <row r="62" spans="1:35" ht="18.75" customHeight="1">
      <c r="A62" s="137" t="s">
        <v>558</v>
      </c>
      <c r="B62" s="132"/>
      <c r="C62" s="132"/>
      <c r="D62" s="138" t="s">
        <v>559</v>
      </c>
      <c r="E62" s="309" t="s">
        <v>560</v>
      </c>
      <c r="F62" s="131"/>
      <c r="G62" s="131"/>
      <c r="H62" s="166">
        <f>10*Chr_lvl</f>
        <v>40</v>
      </c>
      <c r="I62" s="131" t="s">
        <v>561</v>
      </c>
      <c r="J62" s="131"/>
      <c r="K62" s="131"/>
      <c r="L62" s="132"/>
      <c r="M62" s="133"/>
      <c r="N62" s="19"/>
      <c r="O62" s="289"/>
      <c r="P62" s="290"/>
      <c r="Q62" s="291"/>
      <c r="R62" s="314"/>
      <c r="S62" s="314"/>
      <c r="T62" s="408"/>
      <c r="U62" s="23"/>
      <c r="V62" s="535" t="s">
        <v>111</v>
      </c>
      <c r="W62" s="65"/>
      <c r="X62" s="65"/>
      <c r="Y62" s="66"/>
      <c r="Z62" s="67"/>
      <c r="AC62" s="30" t="s">
        <v>243</v>
      </c>
      <c r="AD62" s="4">
        <v>5</v>
      </c>
      <c r="AE62" s="4">
        <v>2</v>
      </c>
      <c r="AF62" s="4">
        <v>-5</v>
      </c>
      <c r="AG62" s="32">
        <v>0.3</v>
      </c>
      <c r="AH62" s="4"/>
      <c r="AI62" s="4">
        <v>40</v>
      </c>
    </row>
    <row r="63" spans="1:35" ht="18.75" customHeight="1">
      <c r="A63" s="139" t="s">
        <v>562</v>
      </c>
      <c r="B63" s="132"/>
      <c r="C63" s="140"/>
      <c r="D63" s="138" t="s">
        <v>563</v>
      </c>
      <c r="E63" s="195" t="s">
        <v>564</v>
      </c>
      <c r="F63" s="1"/>
      <c r="G63" s="194"/>
      <c r="H63" s="132"/>
      <c r="I63" s="1"/>
      <c r="J63" s="194"/>
      <c r="K63" s="132"/>
      <c r="L63" s="131"/>
      <c r="M63" s="133"/>
      <c r="N63" s="19"/>
      <c r="O63" s="15"/>
      <c r="P63" s="1"/>
      <c r="Q63" s="1"/>
      <c r="R63" s="1"/>
      <c r="S63" s="1"/>
      <c r="T63" s="407"/>
      <c r="U63" s="23"/>
      <c r="V63" s="535" t="s">
        <v>112</v>
      </c>
      <c r="W63" s="65"/>
      <c r="X63" s="65"/>
      <c r="Y63" s="66"/>
      <c r="Z63" s="67"/>
      <c r="AC63" s="31" t="s">
        <v>241</v>
      </c>
      <c r="AD63" s="4">
        <v>5</v>
      </c>
      <c r="AE63" s="4">
        <v>3</v>
      </c>
      <c r="AF63" s="4">
        <v>-4</v>
      </c>
      <c r="AG63" s="32">
        <v>0.25</v>
      </c>
      <c r="AH63" s="4"/>
      <c r="AI63" s="4">
        <v>30</v>
      </c>
    </row>
    <row r="64" spans="1:26" ht="18.75" customHeight="1">
      <c r="A64" s="139" t="s">
        <v>565</v>
      </c>
      <c r="B64" s="132"/>
      <c r="C64" s="141"/>
      <c r="D64" s="138" t="s">
        <v>566</v>
      </c>
      <c r="E64" s="131" t="s">
        <v>567</v>
      </c>
      <c r="F64" s="131"/>
      <c r="G64" s="131"/>
      <c r="H64" s="131"/>
      <c r="I64" s="131"/>
      <c r="J64" s="131"/>
      <c r="K64" s="131"/>
      <c r="L64" s="131"/>
      <c r="M64" s="134"/>
      <c r="N64" s="19"/>
      <c r="O64" s="15"/>
      <c r="P64" s="1"/>
      <c r="Q64" s="1"/>
      <c r="R64" s="1"/>
      <c r="S64" s="194"/>
      <c r="T64" s="208"/>
      <c r="U64" s="23"/>
      <c r="V64" s="68" t="s">
        <v>113</v>
      </c>
      <c r="W64" s="66"/>
      <c r="X64" s="65"/>
      <c r="Y64" s="66"/>
      <c r="Z64" s="67"/>
    </row>
    <row r="65" spans="1:35" ht="18.75" customHeight="1">
      <c r="A65" s="139" t="s">
        <v>1143</v>
      </c>
      <c r="B65" s="132"/>
      <c r="C65" s="141"/>
      <c r="D65" s="138" t="s">
        <v>1144</v>
      </c>
      <c r="E65" s="157" t="s">
        <v>1145</v>
      </c>
      <c r="F65" s="131"/>
      <c r="G65" s="131"/>
      <c r="H65" s="274"/>
      <c r="I65" s="274"/>
      <c r="J65" s="131"/>
      <c r="K65" s="131"/>
      <c r="L65" s="131"/>
      <c r="M65" s="134"/>
      <c r="N65" s="19"/>
      <c r="O65" s="15"/>
      <c r="P65" s="1"/>
      <c r="Q65" s="1"/>
      <c r="R65" s="1"/>
      <c r="S65" s="1"/>
      <c r="T65" s="2"/>
      <c r="U65" s="23"/>
      <c r="V65" s="78" t="s">
        <v>114</v>
      </c>
      <c r="W65" s="65"/>
      <c r="X65" s="65"/>
      <c r="Y65" s="65"/>
      <c r="Z65" s="67"/>
      <c r="AC65" s="31" t="s">
        <v>242</v>
      </c>
      <c r="AD65" s="4">
        <v>6</v>
      </c>
      <c r="AE65" s="4">
        <v>0</v>
      </c>
      <c r="AF65" s="4">
        <v>-7</v>
      </c>
      <c r="AG65" s="32">
        <v>0.4</v>
      </c>
      <c r="AH65" s="4"/>
      <c r="AI65" s="4">
        <v>45</v>
      </c>
    </row>
    <row r="66" spans="1:35" ht="18.75" customHeight="1">
      <c r="A66" s="139" t="s">
        <v>1</v>
      </c>
      <c r="B66" s="132"/>
      <c r="C66" s="132"/>
      <c r="D66" s="143" t="s">
        <v>2</v>
      </c>
      <c r="E66" s="131" t="s">
        <v>3</v>
      </c>
      <c r="F66" s="131"/>
      <c r="G66" s="131"/>
      <c r="H66" s="131"/>
      <c r="I66" s="131"/>
      <c r="J66" s="131"/>
      <c r="K66" s="131"/>
      <c r="L66" s="131"/>
      <c r="M66" s="134"/>
      <c r="N66" s="19"/>
      <c r="O66" s="15"/>
      <c r="P66" s="1"/>
      <c r="Q66" s="1"/>
      <c r="R66" s="1"/>
      <c r="S66" s="1"/>
      <c r="T66" s="2"/>
      <c r="U66" s="23"/>
      <c r="V66" s="78" t="s">
        <v>115</v>
      </c>
      <c r="W66" s="65"/>
      <c r="X66" s="65"/>
      <c r="Y66" s="65"/>
      <c r="Z66" s="67"/>
      <c r="AA66" s="1"/>
      <c r="AC66" s="31" t="s">
        <v>245</v>
      </c>
      <c r="AD66" s="4">
        <v>6</v>
      </c>
      <c r="AE66" s="4">
        <v>1</v>
      </c>
      <c r="AF66" s="4">
        <v>-6</v>
      </c>
      <c r="AG66" s="32">
        <v>0.35</v>
      </c>
      <c r="AH66" s="4"/>
      <c r="AI66" s="4">
        <v>35</v>
      </c>
    </row>
    <row r="67" spans="1:35" ht="18" customHeight="1">
      <c r="A67" s="137" t="s">
        <v>11</v>
      </c>
      <c r="B67" s="132"/>
      <c r="C67" s="132"/>
      <c r="D67" s="138" t="s">
        <v>1144</v>
      </c>
      <c r="E67" s="195" t="s">
        <v>12</v>
      </c>
      <c r="F67" s="131"/>
      <c r="G67" s="131"/>
      <c r="H67" s="131"/>
      <c r="I67" s="131"/>
      <c r="J67" s="131"/>
      <c r="K67" s="131"/>
      <c r="L67" s="131"/>
      <c r="M67" s="134"/>
      <c r="O67" s="15"/>
      <c r="P67" s="1"/>
      <c r="Q67" s="1"/>
      <c r="R67" s="1"/>
      <c r="S67" s="1"/>
      <c r="T67" s="2"/>
      <c r="U67" s="23"/>
      <c r="V67" s="68" t="s">
        <v>305</v>
      </c>
      <c r="W67" s="23"/>
      <c r="X67" s="79"/>
      <c r="Y67" s="23"/>
      <c r="Z67" s="80">
        <f>SUM(Z41:Z66)</f>
        <v>10</v>
      </c>
      <c r="AA67" s="1"/>
      <c r="AC67" s="30" t="s">
        <v>246</v>
      </c>
      <c r="AD67" s="4">
        <v>7</v>
      </c>
      <c r="AE67" s="4">
        <v>0</v>
      </c>
      <c r="AF67" s="4">
        <v>-7</v>
      </c>
      <c r="AG67" s="32">
        <v>0.4</v>
      </c>
      <c r="AH67" s="4"/>
      <c r="AI67" s="4">
        <v>50</v>
      </c>
    </row>
    <row r="68" spans="1:35" ht="18" customHeight="1" thickBot="1">
      <c r="A68" s="478" t="s">
        <v>4</v>
      </c>
      <c r="B68" s="479"/>
      <c r="C68" s="480"/>
      <c r="D68" s="481" t="s">
        <v>5</v>
      </c>
      <c r="E68" s="482" t="s">
        <v>8</v>
      </c>
      <c r="F68" s="482"/>
      <c r="G68" s="483">
        <v>0</v>
      </c>
      <c r="H68" s="484" t="s">
        <v>9</v>
      </c>
      <c r="I68" s="482"/>
      <c r="J68" s="482"/>
      <c r="K68" s="131"/>
      <c r="L68" s="131"/>
      <c r="M68" s="134"/>
      <c r="O68" s="15"/>
      <c r="P68" s="1"/>
      <c r="Q68" s="1"/>
      <c r="R68" s="1"/>
      <c r="S68" s="1"/>
      <c r="T68" s="2"/>
      <c r="V68" s="77" t="s">
        <v>218</v>
      </c>
      <c r="W68" s="23"/>
      <c r="X68" s="81"/>
      <c r="Y68" s="23"/>
      <c r="Z68" s="82">
        <f>+wp1wgt+wp2wgt+wp3wgt+wp4wgt+armor1wgt+armor2wgt</f>
        <v>28</v>
      </c>
      <c r="AA68" s="1"/>
      <c r="AC68" s="30" t="s">
        <v>247</v>
      </c>
      <c r="AD68" s="4">
        <v>8</v>
      </c>
      <c r="AE68" s="4">
        <v>1</v>
      </c>
      <c r="AF68" s="4">
        <v>-6</v>
      </c>
      <c r="AG68" s="32">
        <v>0.35</v>
      </c>
      <c r="AH68" s="4"/>
      <c r="AI68" s="4">
        <v>50</v>
      </c>
    </row>
    <row r="69" spans="1:26" ht="18" customHeight="1">
      <c r="A69" s="186"/>
      <c r="B69" s="275"/>
      <c r="C69" s="275"/>
      <c r="D69" s="276"/>
      <c r="E69" s="184"/>
      <c r="F69" s="184"/>
      <c r="G69" s="184"/>
      <c r="H69" s="184"/>
      <c r="I69" s="184"/>
      <c r="J69" s="184"/>
      <c r="K69" s="184"/>
      <c r="L69" s="275"/>
      <c r="M69" s="277"/>
      <c r="O69" s="16"/>
      <c r="P69" s="164"/>
      <c r="Q69" s="164"/>
      <c r="R69" s="164"/>
      <c r="S69" s="164"/>
      <c r="T69" s="207"/>
      <c r="U69" s="1"/>
      <c r="V69" s="83" t="s">
        <v>214</v>
      </c>
      <c r="W69" s="29"/>
      <c r="X69" s="84"/>
      <c r="Y69" s="29"/>
      <c r="Z69" s="80">
        <f>Z68+Z67</f>
        <v>38</v>
      </c>
    </row>
    <row r="70" spans="1:13" ht="18" customHeight="1">
      <c r="A70" s="107"/>
      <c r="B70" s="300"/>
      <c r="C70" s="301"/>
      <c r="D70" s="301"/>
      <c r="E70" s="301"/>
      <c r="F70" s="300"/>
      <c r="G70" s="301"/>
      <c r="H70" s="301"/>
      <c r="I70" s="301"/>
      <c r="J70" s="301"/>
      <c r="K70" s="301"/>
      <c r="L70" s="301"/>
      <c r="M70" s="301"/>
    </row>
    <row r="71" spans="1:35" ht="18.75" customHeight="1">
      <c r="A71" s="300"/>
      <c r="B71" s="300"/>
      <c r="C71" s="300"/>
      <c r="D71" s="300"/>
      <c r="E71" s="300"/>
      <c r="F71" s="300"/>
      <c r="G71" s="300"/>
      <c r="H71" s="300"/>
      <c r="I71" s="300"/>
      <c r="J71" s="300"/>
      <c r="K71" s="300"/>
      <c r="L71" s="300"/>
      <c r="M71" s="300"/>
      <c r="AC71" s="30" t="s">
        <v>248</v>
      </c>
      <c r="AD71" s="4">
        <v>1</v>
      </c>
      <c r="AE71" s="4"/>
      <c r="AF71" s="4">
        <v>-1</v>
      </c>
      <c r="AG71" s="32">
        <v>0.05</v>
      </c>
      <c r="AH71" s="4"/>
      <c r="AI71" s="4">
        <v>5</v>
      </c>
    </row>
    <row r="72" spans="1:13" ht="18" customHeight="1">
      <c r="A72" s="301"/>
      <c r="B72" s="301"/>
      <c r="C72" s="301"/>
      <c r="D72" s="301"/>
      <c r="E72" s="301"/>
      <c r="F72" s="301"/>
      <c r="G72" s="301"/>
      <c r="H72" s="301"/>
      <c r="I72" s="301"/>
      <c r="J72" s="301"/>
      <c r="K72" s="301"/>
      <c r="L72" s="301"/>
      <c r="M72" s="301"/>
    </row>
    <row r="73" spans="15:26" ht="18" customHeight="1">
      <c r="O73" s="1"/>
      <c r="P73" s="1"/>
      <c r="Q73" s="1"/>
      <c r="R73" s="1"/>
      <c r="S73" s="1"/>
      <c r="T73" s="1"/>
      <c r="U73" s="1"/>
      <c r="V73" s="1"/>
      <c r="W73" s="1"/>
      <c r="X73" s="1"/>
      <c r="Y73" s="1"/>
      <c r="Z73" s="1"/>
    </row>
    <row r="74" spans="5:26" ht="18" customHeight="1">
      <c r="E74" s="164"/>
      <c r="H74" s="164"/>
      <c r="O74" s="1"/>
      <c r="P74" s="1"/>
      <c r="Q74" s="1"/>
      <c r="R74" s="1"/>
      <c r="S74" s="1"/>
      <c r="T74" s="1"/>
      <c r="U74" s="1"/>
      <c r="V74" s="1"/>
      <c r="W74" s="1"/>
      <c r="X74" s="1"/>
      <c r="Y74" s="1"/>
      <c r="Z74" s="1"/>
    </row>
    <row r="75" spans="1:26" ht="18" customHeight="1">
      <c r="A75" s="74" t="s">
        <v>569</v>
      </c>
      <c r="B75" s="177"/>
      <c r="C75" s="75" t="s">
        <v>628</v>
      </c>
      <c r="D75" s="321"/>
      <c r="F75" s="486" t="s">
        <v>570</v>
      </c>
      <c r="G75" s="75">
        <f>+wis-10</f>
        <v>8</v>
      </c>
      <c r="I75" s="22" t="s">
        <v>1141</v>
      </c>
      <c r="J75" s="21"/>
      <c r="K75" s="21" t="s">
        <v>1142</v>
      </c>
      <c r="L75" s="21"/>
      <c r="M75" s="21"/>
      <c r="N75" s="21"/>
      <c r="O75" s="317"/>
      <c r="P75" s="21"/>
      <c r="Q75" s="21"/>
      <c r="R75" s="318"/>
      <c r="S75" s="318"/>
      <c r="T75" s="21"/>
      <c r="U75" s="21"/>
      <c r="V75" s="21"/>
      <c r="W75" s="21"/>
      <c r="X75" s="21"/>
      <c r="Y75" s="21"/>
      <c r="Z75" s="28"/>
    </row>
    <row r="76" spans="1:26" ht="18" customHeight="1">
      <c r="A76" s="15"/>
      <c r="B76" s="65"/>
      <c r="C76" s="65"/>
      <c r="D76" s="65"/>
      <c r="E76" s="319"/>
      <c r="F76" s="319"/>
      <c r="G76" s="1"/>
      <c r="H76" s="1"/>
      <c r="I76" s="1"/>
      <c r="J76" s="1"/>
      <c r="K76" s="1"/>
      <c r="L76" s="1"/>
      <c r="M76" s="1"/>
      <c r="N76" s="1"/>
      <c r="O76" s="322"/>
      <c r="P76" s="1"/>
      <c r="Q76" s="315"/>
      <c r="R76" s="319"/>
      <c r="S76" s="315"/>
      <c r="T76" s="322"/>
      <c r="U76" s="319"/>
      <c r="V76" s="188"/>
      <c r="W76" s="1"/>
      <c r="X76" s="65"/>
      <c r="Y76" s="1"/>
      <c r="Z76" s="2"/>
    </row>
    <row r="77" spans="1:26" ht="18" customHeight="1">
      <c r="A77" s="15" t="s">
        <v>572</v>
      </c>
      <c r="B77" s="1"/>
      <c r="C77" s="323" t="s">
        <v>573</v>
      </c>
      <c r="D77" s="1"/>
      <c r="E77" s="1"/>
      <c r="F77" s="65"/>
      <c r="G77" s="65"/>
      <c r="H77" s="1"/>
      <c r="I77" s="1"/>
      <c r="J77" s="1"/>
      <c r="K77" s="323" t="s">
        <v>574</v>
      </c>
      <c r="L77" s="1"/>
      <c r="M77" s="1"/>
      <c r="N77" s="1"/>
      <c r="O77" s="1"/>
      <c r="P77" s="1"/>
      <c r="Q77" s="1"/>
      <c r="R77" s="1"/>
      <c r="S77" s="323" t="s">
        <v>575</v>
      </c>
      <c r="T77" s="1"/>
      <c r="U77" s="1"/>
      <c r="V77" s="1"/>
      <c r="W77" s="1"/>
      <c r="X77" s="1"/>
      <c r="Y77" s="1"/>
      <c r="Z77" s="2"/>
    </row>
    <row r="78" spans="1:26" ht="18" customHeight="1">
      <c r="A78" s="324" t="s">
        <v>576</v>
      </c>
      <c r="B78" s="164"/>
      <c r="C78" s="325">
        <v>4</v>
      </c>
      <c r="D78" s="164"/>
      <c r="E78" s="326"/>
      <c r="F78" s="326"/>
      <c r="G78" s="327"/>
      <c r="H78" s="164"/>
      <c r="I78" s="164"/>
      <c r="J78" s="356" t="s">
        <v>642</v>
      </c>
      <c r="K78" s="325">
        <v>4</v>
      </c>
      <c r="L78" s="114" t="s">
        <v>577</v>
      </c>
      <c r="M78" s="164"/>
      <c r="N78" s="164"/>
      <c r="O78" s="164"/>
      <c r="P78" s="164"/>
      <c r="Q78" s="164"/>
      <c r="R78" s="356" t="s">
        <v>642</v>
      </c>
      <c r="S78" s="325">
        <v>0</v>
      </c>
      <c r="T78" s="114" t="s">
        <v>577</v>
      </c>
      <c r="U78" s="164"/>
      <c r="V78" s="164"/>
      <c r="W78" s="164"/>
      <c r="X78" s="164"/>
      <c r="Y78" s="356" t="s">
        <v>642</v>
      </c>
      <c r="Z78" s="2"/>
    </row>
    <row r="79" spans="1:26" ht="18" customHeight="1">
      <c r="A79" s="15"/>
      <c r="B79" s="1"/>
      <c r="C79" s="15"/>
      <c r="D79" s="65"/>
      <c r="E79" s="69"/>
      <c r="F79" s="69"/>
      <c r="G79" s="23"/>
      <c r="H79" s="23"/>
      <c r="I79" s="23"/>
      <c r="J79" s="23"/>
      <c r="K79" s="358" t="s">
        <v>645</v>
      </c>
      <c r="L79" s="21"/>
      <c r="M79" s="21"/>
      <c r="N79" s="21"/>
      <c r="O79" s="21"/>
      <c r="P79" s="21"/>
      <c r="Q79" s="21"/>
      <c r="R79" s="28"/>
      <c r="S79" s="358" t="s">
        <v>725</v>
      </c>
      <c r="T79" s="23"/>
      <c r="U79" s="23"/>
      <c r="V79" s="23"/>
      <c r="W79" s="23"/>
      <c r="X79" s="23"/>
      <c r="Y79" s="23"/>
      <c r="Z79" s="2"/>
    </row>
    <row r="80" spans="1:26" ht="18" customHeight="1">
      <c r="A80" s="167"/>
      <c r="B80" s="328"/>
      <c r="C80" s="113"/>
      <c r="D80" s="114"/>
      <c r="E80" s="164"/>
      <c r="F80" s="164"/>
      <c r="G80" s="164"/>
      <c r="H80" s="164"/>
      <c r="I80" s="29"/>
      <c r="J80" s="29"/>
      <c r="K80" s="359" t="s">
        <v>646</v>
      </c>
      <c r="L80" s="164"/>
      <c r="M80" s="164"/>
      <c r="N80" s="164"/>
      <c r="O80" s="164"/>
      <c r="P80" s="164"/>
      <c r="Q80" s="164"/>
      <c r="R80" s="207"/>
      <c r="S80" s="359" t="s">
        <v>879</v>
      </c>
      <c r="T80" s="29"/>
      <c r="U80" s="29"/>
      <c r="V80" s="29"/>
      <c r="W80" s="29"/>
      <c r="X80" s="29"/>
      <c r="Y80" s="29"/>
      <c r="Z80" s="2"/>
    </row>
    <row r="81" spans="1:26" ht="18" customHeight="1">
      <c r="A81" s="536" t="s">
        <v>578</v>
      </c>
      <c r="B81" s="1"/>
      <c r="C81" s="15"/>
      <c r="D81" s="65"/>
      <c r="E81" s="319"/>
      <c r="F81" s="319"/>
      <c r="G81" s="1"/>
      <c r="H81" s="1"/>
      <c r="I81" s="1"/>
      <c r="J81" s="1"/>
      <c r="K81" s="15"/>
      <c r="L81" s="1"/>
      <c r="M81" s="1"/>
      <c r="N81" s="1"/>
      <c r="O81" s="1"/>
      <c r="P81" s="1"/>
      <c r="Q81" s="1"/>
      <c r="R81" s="1"/>
      <c r="S81" s="57"/>
      <c r="T81" s="23"/>
      <c r="U81" s="23"/>
      <c r="V81" s="23"/>
      <c r="W81" s="23"/>
      <c r="X81" s="23"/>
      <c r="Y81" s="23"/>
      <c r="Z81" s="2"/>
    </row>
    <row r="82" spans="1:26" ht="18" customHeight="1">
      <c r="A82" s="536"/>
      <c r="B82" s="164"/>
      <c r="C82" s="16"/>
      <c r="D82" s="164"/>
      <c r="E82" s="164"/>
      <c r="F82" s="164"/>
      <c r="G82" s="164"/>
      <c r="H82" s="164"/>
      <c r="I82" s="164"/>
      <c r="J82" s="164"/>
      <c r="K82" s="16"/>
      <c r="L82" s="164"/>
      <c r="M82" s="164"/>
      <c r="N82" s="164"/>
      <c r="O82" s="164"/>
      <c r="P82" s="164"/>
      <c r="Q82" s="164"/>
      <c r="R82" s="329"/>
      <c r="S82" s="83"/>
      <c r="T82" s="326"/>
      <c r="U82" s="29"/>
      <c r="V82" s="29"/>
      <c r="W82" s="29"/>
      <c r="X82" s="29"/>
      <c r="Y82" s="29"/>
      <c r="Z82" s="2"/>
    </row>
    <row r="83" spans="1:26" ht="18" customHeight="1">
      <c r="A83" s="536"/>
      <c r="B83" s="1"/>
      <c r="C83" s="15"/>
      <c r="D83" s="1"/>
      <c r="E83" s="1"/>
      <c r="F83" s="1"/>
      <c r="G83" s="1"/>
      <c r="H83" s="1"/>
      <c r="I83" s="1"/>
      <c r="J83" s="1"/>
      <c r="K83" s="57"/>
      <c r="L83" s="23"/>
      <c r="M83" s="23"/>
      <c r="N83" s="23"/>
      <c r="O83" s="23"/>
      <c r="P83" s="23"/>
      <c r="Q83" s="23"/>
      <c r="R83" s="23"/>
      <c r="S83" s="57"/>
      <c r="T83" s="23"/>
      <c r="U83" s="23"/>
      <c r="V83" s="23"/>
      <c r="W83" s="23"/>
      <c r="X83" s="23"/>
      <c r="Y83" s="23"/>
      <c r="Z83" s="2"/>
    </row>
    <row r="84" spans="1:26" ht="18" customHeight="1">
      <c r="A84" s="536"/>
      <c r="B84" s="164"/>
      <c r="C84" s="16"/>
      <c r="D84" s="164"/>
      <c r="E84" s="164"/>
      <c r="F84" s="164"/>
      <c r="G84" s="164"/>
      <c r="H84" s="164"/>
      <c r="I84" s="164"/>
      <c r="J84" s="164"/>
      <c r="K84" s="96"/>
      <c r="L84" s="29"/>
      <c r="M84" s="29"/>
      <c r="N84" s="29"/>
      <c r="O84" s="29"/>
      <c r="P84" s="29"/>
      <c r="Q84" s="29"/>
      <c r="R84" s="29"/>
      <c r="S84" s="96"/>
      <c r="T84" s="29"/>
      <c r="U84" s="29"/>
      <c r="V84" s="29"/>
      <c r="W84" s="29"/>
      <c r="X84" s="29"/>
      <c r="Y84" s="29"/>
      <c r="Z84" s="2"/>
    </row>
    <row r="85" spans="1:26" ht="18" customHeight="1">
      <c r="A85" s="536"/>
      <c r="B85" s="1"/>
      <c r="C85" s="57"/>
      <c r="D85" s="23"/>
      <c r="E85" s="23"/>
      <c r="F85" s="23"/>
      <c r="G85" s="23"/>
      <c r="H85" s="23"/>
      <c r="I85" s="23"/>
      <c r="J85" s="23"/>
      <c r="K85" s="57"/>
      <c r="L85" s="23"/>
      <c r="M85" s="23"/>
      <c r="N85" s="23"/>
      <c r="O85" s="23"/>
      <c r="P85" s="23"/>
      <c r="Q85" s="23"/>
      <c r="R85" s="23"/>
      <c r="S85" s="352"/>
      <c r="T85" s="353"/>
      <c r="U85" s="353"/>
      <c r="V85" s="353"/>
      <c r="W85" s="353"/>
      <c r="X85" s="353"/>
      <c r="Y85" s="353"/>
      <c r="Z85" s="2"/>
    </row>
    <row r="86" spans="1:26" ht="18" customHeight="1">
      <c r="A86" s="536"/>
      <c r="B86" s="164"/>
      <c r="C86" s="96"/>
      <c r="D86" s="29"/>
      <c r="E86" s="29"/>
      <c r="F86" s="29"/>
      <c r="G86" s="29"/>
      <c r="H86" s="29"/>
      <c r="I86" s="29"/>
      <c r="J86" s="29"/>
      <c r="K86" s="96"/>
      <c r="L86" s="29"/>
      <c r="M86" s="29"/>
      <c r="N86" s="29"/>
      <c r="O86" s="29"/>
      <c r="P86" s="29"/>
      <c r="Q86" s="29"/>
      <c r="R86" s="29"/>
      <c r="S86" s="354"/>
      <c r="T86" s="355"/>
      <c r="U86" s="355"/>
      <c r="V86" s="355"/>
      <c r="W86" s="355"/>
      <c r="X86" s="355"/>
      <c r="Y86" s="355"/>
      <c r="Z86" s="2"/>
    </row>
    <row r="87" spans="1:26" ht="18" customHeight="1">
      <c r="A87" s="15"/>
      <c r="B87" s="1"/>
      <c r="C87" s="352"/>
      <c r="D87" s="353"/>
      <c r="E87" s="353"/>
      <c r="F87" s="353"/>
      <c r="G87" s="353"/>
      <c r="H87" s="353"/>
      <c r="I87" s="353"/>
      <c r="J87" s="353"/>
      <c r="K87" s="352"/>
      <c r="L87" s="353"/>
      <c r="M87" s="353"/>
      <c r="N87" s="353"/>
      <c r="O87" s="353"/>
      <c r="P87" s="353"/>
      <c r="Q87" s="353"/>
      <c r="R87" s="353"/>
      <c r="S87" s="352"/>
      <c r="T87" s="353"/>
      <c r="U87" s="353"/>
      <c r="V87" s="353"/>
      <c r="W87" s="353"/>
      <c r="X87" s="353"/>
      <c r="Y87" s="353"/>
      <c r="Z87" s="2"/>
    </row>
    <row r="88" spans="1:26" ht="18" customHeight="1">
      <c r="A88" s="15"/>
      <c r="B88" s="164"/>
      <c r="C88" s="354"/>
      <c r="D88" s="355"/>
      <c r="E88" s="355"/>
      <c r="F88" s="355"/>
      <c r="G88" s="355"/>
      <c r="H88" s="355"/>
      <c r="I88" s="355"/>
      <c r="J88" s="355"/>
      <c r="K88" s="354"/>
      <c r="L88" s="355"/>
      <c r="M88" s="355"/>
      <c r="N88" s="355"/>
      <c r="O88" s="355"/>
      <c r="P88" s="355"/>
      <c r="Q88" s="355"/>
      <c r="R88" s="355"/>
      <c r="S88" s="354"/>
      <c r="T88" s="355"/>
      <c r="U88" s="355"/>
      <c r="V88" s="355"/>
      <c r="W88" s="355"/>
      <c r="X88" s="355"/>
      <c r="Y88" s="355"/>
      <c r="Z88" s="2"/>
    </row>
    <row r="89" spans="1:26" ht="18" customHeight="1">
      <c r="A89" s="15"/>
      <c r="B89" s="1"/>
      <c r="C89" s="352"/>
      <c r="D89" s="353"/>
      <c r="E89" s="353"/>
      <c r="F89" s="353"/>
      <c r="G89" s="353"/>
      <c r="H89" s="353"/>
      <c r="I89" s="353"/>
      <c r="J89" s="353"/>
      <c r="K89" s="352"/>
      <c r="L89" s="353"/>
      <c r="M89" s="353"/>
      <c r="N89" s="353"/>
      <c r="O89" s="353"/>
      <c r="P89" s="353"/>
      <c r="Q89" s="353"/>
      <c r="R89" s="353"/>
      <c r="S89" s="352"/>
      <c r="T89" s="353"/>
      <c r="U89" s="353"/>
      <c r="V89" s="353"/>
      <c r="W89" s="353"/>
      <c r="X89" s="353"/>
      <c r="Y89" s="353"/>
      <c r="Z89" s="2"/>
    </row>
    <row r="90" spans="1:26" ht="18" customHeight="1">
      <c r="A90" s="15"/>
      <c r="B90" s="164"/>
      <c r="C90" s="354"/>
      <c r="D90" s="355"/>
      <c r="E90" s="355"/>
      <c r="F90" s="355"/>
      <c r="G90" s="355"/>
      <c r="H90" s="355"/>
      <c r="I90" s="355"/>
      <c r="J90" s="355"/>
      <c r="K90" s="354"/>
      <c r="L90" s="355"/>
      <c r="M90" s="355"/>
      <c r="N90" s="355"/>
      <c r="O90" s="355"/>
      <c r="P90" s="355"/>
      <c r="Q90" s="355"/>
      <c r="R90" s="355"/>
      <c r="S90" s="354"/>
      <c r="T90" s="355"/>
      <c r="U90" s="355"/>
      <c r="V90" s="355"/>
      <c r="W90" s="355"/>
      <c r="X90" s="355"/>
      <c r="Y90" s="355"/>
      <c r="Z90" s="2"/>
    </row>
    <row r="91" spans="1:26" ht="18" customHeight="1">
      <c r="A91" s="16"/>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207"/>
    </row>
    <row r="92" spans="1:26" ht="18" customHeight="1">
      <c r="A92" s="301"/>
      <c r="B92" s="301"/>
      <c r="C92" s="301"/>
      <c r="D92" s="301"/>
      <c r="E92" s="301"/>
      <c r="F92" s="301"/>
      <c r="G92" s="301"/>
      <c r="H92" s="301"/>
      <c r="I92" s="301"/>
      <c r="J92" s="301"/>
      <c r="K92" s="301"/>
      <c r="L92" s="301"/>
      <c r="M92" s="301"/>
      <c r="O92" s="302"/>
      <c r="P92" s="315"/>
      <c r="Q92" s="315"/>
      <c r="R92" s="315"/>
      <c r="S92" s="315"/>
      <c r="T92" s="315"/>
      <c r="U92" s="301"/>
      <c r="V92" s="301"/>
      <c r="W92" s="301"/>
      <c r="X92" s="301"/>
      <c r="Y92" s="301"/>
      <c r="Z92" s="301"/>
    </row>
    <row r="93" spans="15:27" ht="18" customHeight="1">
      <c r="O93" s="315"/>
      <c r="P93" s="315"/>
      <c r="Q93" s="315"/>
      <c r="R93" s="315"/>
      <c r="S93" s="315"/>
      <c r="T93" s="315"/>
      <c r="U93" s="301"/>
      <c r="V93" s="301"/>
      <c r="W93" s="301"/>
      <c r="X93" s="301"/>
      <c r="Y93" s="301"/>
      <c r="Z93" s="301"/>
      <c r="AA93" s="301"/>
    </row>
    <row r="94" spans="1:27" ht="18" customHeight="1">
      <c r="A94" s="330" t="s">
        <v>579</v>
      </c>
      <c r="B94" s="331"/>
      <c r="C94" s="331"/>
      <c r="D94" s="331"/>
      <c r="E94" s="331"/>
      <c r="F94" s="331"/>
      <c r="G94" s="331"/>
      <c r="H94" s="331"/>
      <c r="I94" s="331"/>
      <c r="J94" s="331"/>
      <c r="K94" s="331"/>
      <c r="L94" s="331"/>
      <c r="M94" s="332"/>
      <c r="O94" s="116" t="s">
        <v>511</v>
      </c>
      <c r="P94" s="117"/>
      <c r="Q94" s="117"/>
      <c r="R94" s="117" t="s">
        <v>514</v>
      </c>
      <c r="S94" s="117"/>
      <c r="T94" s="117"/>
      <c r="U94" s="21"/>
      <c r="V94" s="21"/>
      <c r="W94" s="21"/>
      <c r="X94" s="21"/>
      <c r="Y94" s="21"/>
      <c r="Z94" s="28"/>
      <c r="AA94" s="301"/>
    </row>
    <row r="95" spans="1:27" ht="18" customHeight="1">
      <c r="A95" s="333" t="s">
        <v>580</v>
      </c>
      <c r="B95" s="334"/>
      <c r="C95" s="335">
        <f>3+chamod</f>
        <v>5</v>
      </c>
      <c r="D95" s="336"/>
      <c r="E95" s="322" t="s">
        <v>626</v>
      </c>
      <c r="F95" s="334"/>
      <c r="G95" s="334"/>
      <c r="H95" s="334"/>
      <c r="I95" s="334"/>
      <c r="J95" s="334"/>
      <c r="K95" s="334"/>
      <c r="L95" s="334"/>
      <c r="M95" s="337"/>
      <c r="N95" s="1"/>
      <c r="O95" s="297"/>
      <c r="P95" s="184"/>
      <c r="Q95" s="184"/>
      <c r="R95" s="275" t="s">
        <v>515</v>
      </c>
      <c r="S95" s="304">
        <f>15-skill_con</f>
        <v>11</v>
      </c>
      <c r="T95" s="305" t="s">
        <v>510</v>
      </c>
      <c r="U95" s="184"/>
      <c r="V95" s="405" t="s">
        <v>629</v>
      </c>
      <c r="W95" s="305"/>
      <c r="X95" s="184"/>
      <c r="Y95" s="184"/>
      <c r="Z95" s="207"/>
      <c r="AA95" s="1"/>
    </row>
    <row r="96" spans="1:27" ht="18" customHeight="1">
      <c r="A96" s="333" t="s">
        <v>581</v>
      </c>
      <c r="B96" s="334"/>
      <c r="C96" s="334"/>
      <c r="D96" s="334"/>
      <c r="E96" s="334"/>
      <c r="F96" s="334"/>
      <c r="G96" s="334"/>
      <c r="H96" s="334"/>
      <c r="I96" s="334"/>
      <c r="J96" s="334"/>
      <c r="K96" s="334"/>
      <c r="L96" s="334"/>
      <c r="M96" s="337"/>
      <c r="N96" s="299"/>
      <c r="O96" s="131"/>
      <c r="P96" s="131"/>
      <c r="Q96" s="131"/>
      <c r="R96" s="132"/>
      <c r="S96" s="166"/>
      <c r="T96" s="187"/>
      <c r="U96" s="131"/>
      <c r="V96" s="131"/>
      <c r="W96" s="187"/>
      <c r="X96" s="131"/>
      <c r="Y96" s="131"/>
      <c r="Z96" s="1"/>
      <c r="AA96" s="1"/>
    </row>
    <row r="97" spans="1:27" ht="18" customHeight="1">
      <c r="A97" s="15"/>
      <c r="B97" s="338" t="s">
        <v>582</v>
      </c>
      <c r="C97" s="1"/>
      <c r="D97" s="1"/>
      <c r="E97" s="1"/>
      <c r="F97" s="339" t="s">
        <v>583</v>
      </c>
      <c r="G97" s="340"/>
      <c r="H97" s="1"/>
      <c r="I97" s="338" t="s">
        <v>584</v>
      </c>
      <c r="J97" s="334"/>
      <c r="K97" s="334"/>
      <c r="L97" s="334"/>
      <c r="M97" s="337"/>
      <c r="N97" s="1"/>
      <c r="O97" s="116" t="s">
        <v>512</v>
      </c>
      <c r="P97" s="117"/>
      <c r="Q97" s="402" t="s">
        <v>513</v>
      </c>
      <c r="R97" s="117"/>
      <c r="S97" s="117"/>
      <c r="T97" s="117"/>
      <c r="U97" s="117"/>
      <c r="V97" s="117"/>
      <c r="W97" s="117"/>
      <c r="X97" s="117"/>
      <c r="Y97" s="117"/>
      <c r="Z97" s="306"/>
      <c r="AA97" s="1"/>
    </row>
    <row r="98" spans="1:27" ht="18" customHeight="1">
      <c r="A98" s="15"/>
      <c r="B98" s="338" t="s">
        <v>217</v>
      </c>
      <c r="C98" s="537" t="s">
        <v>1217</v>
      </c>
      <c r="D98" s="537"/>
      <c r="E98" s="23"/>
      <c r="F98" s="472" t="s">
        <v>585</v>
      </c>
      <c r="G98" s="340"/>
      <c r="H98" s="1"/>
      <c r="I98" s="406" t="s">
        <v>586</v>
      </c>
      <c r="J98" s="334"/>
      <c r="K98" s="1"/>
      <c r="L98" s="334"/>
      <c r="M98" s="337"/>
      <c r="O98" s="296"/>
      <c r="P98" s="131"/>
      <c r="Q98" s="131" t="s">
        <v>630</v>
      </c>
      <c r="R98" s="131"/>
      <c r="S98" s="131"/>
      <c r="T98" s="131"/>
      <c r="U98" s="131"/>
      <c r="V98" s="350"/>
      <c r="W98" s="131"/>
      <c r="X98" s="142"/>
      <c r="Y98" s="157"/>
      <c r="Z98" s="134"/>
      <c r="AA98" s="23"/>
    </row>
    <row r="99" spans="1:27" ht="18" customHeight="1">
      <c r="A99" s="15"/>
      <c r="B99" s="341" t="s">
        <v>587</v>
      </c>
      <c r="C99" s="473" t="s">
        <v>588</v>
      </c>
      <c r="D99" s="474">
        <f>0-(chamod+2)</f>
        <v>-4</v>
      </c>
      <c r="E99" s="475">
        <f>+Class1_lvl+G68-4</f>
        <v>-1</v>
      </c>
      <c r="F99" s="476" t="str">
        <f>IF(E99&gt;0,E99,"-")</f>
        <v>-</v>
      </c>
      <c r="G99" s="334"/>
      <c r="H99" s="1"/>
      <c r="I99" s="338" t="str">
        <f aca="true" t="shared" si="4" ref="I99:I107">IF(F99="-","-",IF(Class1_lvl&gt;=2*E99,"D","T"))</f>
        <v>-</v>
      </c>
      <c r="J99" s="334"/>
      <c r="K99" s="1"/>
      <c r="L99" s="334"/>
      <c r="M99" s="337"/>
      <c r="O99" s="296"/>
      <c r="P99" s="131"/>
      <c r="Q99" s="131" t="s">
        <v>631</v>
      </c>
      <c r="R99" s="131"/>
      <c r="S99" s="131"/>
      <c r="T99" s="131"/>
      <c r="U99" s="131"/>
      <c r="V99" s="131"/>
      <c r="W99" s="131"/>
      <c r="X99" s="131"/>
      <c r="Y99" s="131"/>
      <c r="Z99" s="351"/>
      <c r="AA99" s="350"/>
    </row>
    <row r="100" spans="1:27" ht="18" customHeight="1">
      <c r="A100" s="15"/>
      <c r="B100" s="341" t="s">
        <v>589</v>
      </c>
      <c r="C100" s="477">
        <f>1-(chamod+2)</f>
        <v>-3</v>
      </c>
      <c r="D100" s="474" t="s">
        <v>1219</v>
      </c>
      <c r="E100" s="475">
        <f>+Class1_lvl+G68-3</f>
        <v>0</v>
      </c>
      <c r="F100" s="476" t="str">
        <f aca="true" t="shared" si="5" ref="F100:F107">IF(E100&gt;0,E100,"-")</f>
        <v>-</v>
      </c>
      <c r="G100" s="334"/>
      <c r="H100" s="1"/>
      <c r="I100" s="338" t="str">
        <f t="shared" si="4"/>
        <v>-</v>
      </c>
      <c r="J100" s="334"/>
      <c r="K100" s="342" t="s">
        <v>10</v>
      </c>
      <c r="L100" s="334"/>
      <c r="M100" s="337"/>
      <c r="O100" s="296"/>
      <c r="P100" s="131"/>
      <c r="Q100" s="131" t="s">
        <v>632</v>
      </c>
      <c r="R100" s="131"/>
      <c r="S100" s="131"/>
      <c r="T100" s="131"/>
      <c r="U100" s="131"/>
      <c r="V100" s="131"/>
      <c r="W100" s="131"/>
      <c r="X100" s="131"/>
      <c r="Y100" s="131"/>
      <c r="Z100" s="351"/>
      <c r="AA100" s="350"/>
    </row>
    <row r="101" spans="1:27" ht="18" customHeight="1">
      <c r="A101" s="15"/>
      <c r="B101" s="341" t="s">
        <v>590</v>
      </c>
      <c r="C101" s="477">
        <f>4-(chamod+2)</f>
        <v>0</v>
      </c>
      <c r="D101" s="474">
        <f>+-(C101+2)</f>
        <v>-2</v>
      </c>
      <c r="E101" s="475">
        <f>+Class1_lvl+G68-2</f>
        <v>1</v>
      </c>
      <c r="F101" s="476">
        <f t="shared" si="5"/>
        <v>1</v>
      </c>
      <c r="G101" s="334"/>
      <c r="H101" s="1"/>
      <c r="I101" s="338" t="str">
        <f t="shared" si="4"/>
        <v>D</v>
      </c>
      <c r="J101" s="334"/>
      <c r="K101" s="342" t="s">
        <v>596</v>
      </c>
      <c r="L101" s="334"/>
      <c r="M101" s="337"/>
      <c r="O101" s="296"/>
      <c r="P101" s="131"/>
      <c r="Q101" s="131"/>
      <c r="R101" s="131"/>
      <c r="S101" s="131"/>
      <c r="T101" s="131"/>
      <c r="U101" s="131"/>
      <c r="V101" s="131"/>
      <c r="W101" s="131"/>
      <c r="X101" s="131"/>
      <c r="Y101" s="131"/>
      <c r="Z101" s="2"/>
      <c r="AA101" s="350"/>
    </row>
    <row r="102" spans="1:27" ht="18" customHeight="1">
      <c r="A102" s="15"/>
      <c r="B102" s="341" t="s">
        <v>591</v>
      </c>
      <c r="C102" s="477">
        <f>7-(chamod+2)</f>
        <v>3</v>
      </c>
      <c r="D102" s="474">
        <f>+-(C102+2)</f>
        <v>-5</v>
      </c>
      <c r="E102" s="475">
        <f>+Class1_lvl+G68-1</f>
        <v>2</v>
      </c>
      <c r="F102" s="476">
        <f t="shared" si="5"/>
        <v>2</v>
      </c>
      <c r="G102" s="334"/>
      <c r="H102" s="1"/>
      <c r="I102" s="338" t="str">
        <f t="shared" si="4"/>
        <v>T</v>
      </c>
      <c r="J102" s="334"/>
      <c r="K102" s="322" t="s">
        <v>1218</v>
      </c>
      <c r="L102" s="334"/>
      <c r="M102" s="337"/>
      <c r="O102" s="297" t="s">
        <v>516</v>
      </c>
      <c r="P102" s="401" t="s">
        <v>634</v>
      </c>
      <c r="Q102" s="184" t="s">
        <v>633</v>
      </c>
      <c r="R102" s="164"/>
      <c r="S102" s="184"/>
      <c r="T102" s="184"/>
      <c r="U102" s="184"/>
      <c r="V102" s="184"/>
      <c r="W102" s="184"/>
      <c r="X102" s="184"/>
      <c r="Y102" s="184"/>
      <c r="Z102" s="207"/>
      <c r="AA102" s="1"/>
    </row>
    <row r="103" spans="1:27" ht="18" customHeight="1">
      <c r="A103" s="15"/>
      <c r="B103" s="341" t="s">
        <v>592</v>
      </c>
      <c r="C103" s="477">
        <f>10-(chamod+2)</f>
        <v>6</v>
      </c>
      <c r="D103" s="474">
        <f>+-(C103+2)</f>
        <v>-8</v>
      </c>
      <c r="E103" s="475">
        <f>+Class1_lvl+G68</f>
        <v>3</v>
      </c>
      <c r="F103" s="476">
        <f t="shared" si="5"/>
        <v>3</v>
      </c>
      <c r="G103" s="334"/>
      <c r="H103" s="1"/>
      <c r="I103" s="338" t="str">
        <f t="shared" si="4"/>
        <v>T</v>
      </c>
      <c r="J103" s="334"/>
      <c r="K103" s="1"/>
      <c r="L103" s="334"/>
      <c r="M103" s="337"/>
      <c r="O103" s="131"/>
      <c r="P103" s="131"/>
      <c r="Q103" s="131"/>
      <c r="R103" s="1"/>
      <c r="S103" s="131"/>
      <c r="T103" s="131"/>
      <c r="U103" s="131"/>
      <c r="V103" s="131"/>
      <c r="W103" s="131"/>
      <c r="X103" s="131"/>
      <c r="Y103" s="131"/>
      <c r="Z103" s="1"/>
      <c r="AA103" s="1"/>
    </row>
    <row r="104" spans="1:27" ht="18" customHeight="1">
      <c r="A104" s="15"/>
      <c r="B104" s="341" t="s">
        <v>593</v>
      </c>
      <c r="C104" s="477">
        <f>13-(chamod+2)</f>
        <v>9</v>
      </c>
      <c r="D104" s="474">
        <f>-(+C104+2)</f>
        <v>-11</v>
      </c>
      <c r="E104" s="475">
        <f>+Class1_lvl+G68+1</f>
        <v>4</v>
      </c>
      <c r="F104" s="476">
        <f t="shared" si="5"/>
        <v>4</v>
      </c>
      <c r="G104" s="334"/>
      <c r="H104" s="1"/>
      <c r="I104" s="338" t="str">
        <f t="shared" si="4"/>
        <v>T</v>
      </c>
      <c r="J104" s="334"/>
      <c r="K104" s="342"/>
      <c r="L104" s="334"/>
      <c r="M104" s="337"/>
      <c r="O104" s="307" t="s">
        <v>635</v>
      </c>
      <c r="P104" s="308"/>
      <c r="Q104" s="308"/>
      <c r="R104" s="404" t="s">
        <v>503</v>
      </c>
      <c r="S104" s="308"/>
      <c r="T104" s="308"/>
      <c r="U104" s="308"/>
      <c r="V104" s="308"/>
      <c r="W104" s="308"/>
      <c r="X104" s="308"/>
      <c r="Y104" s="308"/>
      <c r="Z104" s="14"/>
      <c r="AA104" s="1"/>
    </row>
    <row r="105" spans="1:27" ht="18" customHeight="1">
      <c r="A105" s="15"/>
      <c r="B105" s="341" t="s">
        <v>594</v>
      </c>
      <c r="C105" s="477">
        <f>16-(chamod+2)</f>
        <v>12</v>
      </c>
      <c r="D105" s="474">
        <f>+-(C105+2)</f>
        <v>-14</v>
      </c>
      <c r="E105" s="475">
        <f>+Class1_lvl+G68+2</f>
        <v>5</v>
      </c>
      <c r="F105" s="476">
        <f t="shared" si="5"/>
        <v>5</v>
      </c>
      <c r="G105" s="334"/>
      <c r="H105" s="1"/>
      <c r="I105" s="338" t="str">
        <f t="shared" si="4"/>
        <v>T</v>
      </c>
      <c r="J105" s="334"/>
      <c r="K105" s="1"/>
      <c r="L105" s="334"/>
      <c r="M105" s="337"/>
      <c r="O105" s="1"/>
      <c r="P105" s="1"/>
      <c r="Q105" s="1"/>
      <c r="R105" s="1"/>
      <c r="S105" s="1"/>
      <c r="T105" s="1"/>
      <c r="U105" s="1"/>
      <c r="V105" s="1"/>
      <c r="W105" s="1"/>
      <c r="X105" s="1"/>
      <c r="Y105" s="1"/>
      <c r="Z105" s="1"/>
      <c r="AA105" s="1"/>
    </row>
    <row r="106" spans="1:27" ht="18" customHeight="1">
      <c r="A106" s="15"/>
      <c r="B106" s="341" t="s">
        <v>595</v>
      </c>
      <c r="C106" s="477">
        <f>19-(chamod+2)</f>
        <v>15</v>
      </c>
      <c r="D106" s="474">
        <f>+-(C106+2)</f>
        <v>-17</v>
      </c>
      <c r="E106" s="475">
        <f>+Class1_lvl+G68+3</f>
        <v>6</v>
      </c>
      <c r="F106" s="476">
        <f t="shared" si="5"/>
        <v>6</v>
      </c>
      <c r="G106" s="334"/>
      <c r="H106" s="1"/>
      <c r="I106" s="338" t="str">
        <f t="shared" si="4"/>
        <v>T</v>
      </c>
      <c r="J106" s="334"/>
      <c r="K106" s="1"/>
      <c r="L106" s="334"/>
      <c r="M106" s="337"/>
      <c r="O106" s="116" t="s">
        <v>341</v>
      </c>
      <c r="P106" s="21"/>
      <c r="Q106" s="117" t="s">
        <v>504</v>
      </c>
      <c r="R106" s="117"/>
      <c r="S106" s="117"/>
      <c r="T106" s="117"/>
      <c r="U106" s="117"/>
      <c r="V106" s="117"/>
      <c r="W106" s="117"/>
      <c r="X106" s="117"/>
      <c r="Y106" s="117"/>
      <c r="Z106" s="295"/>
      <c r="AA106" s="1"/>
    </row>
    <row r="107" spans="1:27" ht="18" customHeight="1">
      <c r="A107" s="15"/>
      <c r="B107" s="341" t="s">
        <v>597</v>
      </c>
      <c r="C107" s="473" t="s">
        <v>598</v>
      </c>
      <c r="D107" s="474">
        <f>22-(chamod+2)</f>
        <v>18</v>
      </c>
      <c r="E107" s="475">
        <f>+Class1_lvl+G68+4</f>
        <v>7</v>
      </c>
      <c r="F107" s="476">
        <f t="shared" si="5"/>
        <v>7</v>
      </c>
      <c r="G107" s="334"/>
      <c r="H107" s="1"/>
      <c r="I107" s="338" t="str">
        <f t="shared" si="4"/>
        <v>T</v>
      </c>
      <c r="J107" s="334"/>
      <c r="K107" s="334"/>
      <c r="L107" s="334"/>
      <c r="M107" s="337"/>
      <c r="O107" s="296" t="s">
        <v>508</v>
      </c>
      <c r="P107" s="1"/>
      <c r="Q107" s="309" t="s">
        <v>505</v>
      </c>
      <c r="R107" s="131"/>
      <c r="S107" s="131"/>
      <c r="T107" s="131"/>
      <c r="U107" s="131"/>
      <c r="V107" s="131"/>
      <c r="W107" s="303" t="s">
        <v>509</v>
      </c>
      <c r="X107" s="166">
        <f>15-D50</f>
        <v>11</v>
      </c>
      <c r="Y107" s="403" t="s">
        <v>510</v>
      </c>
      <c r="Z107" s="2"/>
      <c r="AA107" s="131"/>
    </row>
    <row r="108" spans="1:27" ht="18" customHeight="1">
      <c r="A108" s="333" t="s">
        <v>599</v>
      </c>
      <c r="B108" s="322"/>
      <c r="C108" s="322"/>
      <c r="D108" s="322"/>
      <c r="E108" s="322"/>
      <c r="F108" s="343" t="s">
        <v>600</v>
      </c>
      <c r="G108" s="149" t="str">
        <f>IF((chamod+Class1_lvl)&gt;-1,"+ "&amp;(chamod+Class1_lvl),(chamod+Class1_lvl))</f>
        <v>+ 5</v>
      </c>
      <c r="H108" s="1"/>
      <c r="I108" s="322"/>
      <c r="J108" s="65"/>
      <c r="K108" s="322"/>
      <c r="L108" s="322"/>
      <c r="M108" s="344"/>
      <c r="O108" s="15"/>
      <c r="P108" s="1"/>
      <c r="Q108" s="131" t="s">
        <v>506</v>
      </c>
      <c r="R108" s="131"/>
      <c r="S108" s="131"/>
      <c r="T108" s="131"/>
      <c r="U108" s="131"/>
      <c r="V108" s="131"/>
      <c r="W108" s="131"/>
      <c r="X108" s="131"/>
      <c r="Y108" s="131"/>
      <c r="Z108" s="134"/>
      <c r="AA108" s="131"/>
    </row>
    <row r="109" spans="1:27" ht="18" customHeight="1">
      <c r="A109" s="357" t="s">
        <v>643</v>
      </c>
      <c r="B109" s="322"/>
      <c r="C109" s="322"/>
      <c r="D109" s="322"/>
      <c r="E109" s="322"/>
      <c r="F109" s="322"/>
      <c r="G109" s="322"/>
      <c r="H109" s="322"/>
      <c r="I109" s="322"/>
      <c r="J109" s="322"/>
      <c r="K109" s="322"/>
      <c r="L109" s="322"/>
      <c r="M109" s="344"/>
      <c r="O109" s="16"/>
      <c r="P109" s="164"/>
      <c r="Q109" s="184" t="s">
        <v>507</v>
      </c>
      <c r="R109" s="184"/>
      <c r="S109" s="184"/>
      <c r="T109" s="184"/>
      <c r="U109" s="184"/>
      <c r="V109" s="184"/>
      <c r="W109" s="184"/>
      <c r="X109" s="184"/>
      <c r="Y109" s="184"/>
      <c r="Z109" s="298"/>
      <c r="AA109" s="131"/>
    </row>
    <row r="110" spans="1:27" ht="18" customHeight="1">
      <c r="A110" s="333" t="s">
        <v>639</v>
      </c>
      <c r="B110" s="322"/>
      <c r="C110" s="322"/>
      <c r="D110" s="322"/>
      <c r="E110" s="322"/>
      <c r="F110" s="322"/>
      <c r="G110" s="322"/>
      <c r="H110" s="322"/>
      <c r="I110" s="322"/>
      <c r="J110" s="322"/>
      <c r="K110" s="322"/>
      <c r="L110" s="322"/>
      <c r="M110" s="344"/>
      <c r="O110" s="1"/>
      <c r="P110" s="1"/>
      <c r="Q110" s="1"/>
      <c r="R110" s="1"/>
      <c r="S110" s="1"/>
      <c r="T110" s="1"/>
      <c r="U110" s="1"/>
      <c r="V110" s="1"/>
      <c r="W110" s="1"/>
      <c r="X110" s="1"/>
      <c r="Y110" s="1"/>
      <c r="Z110" s="1"/>
      <c r="AA110" s="131"/>
    </row>
    <row r="111" spans="1:27" ht="18" customHeight="1">
      <c r="A111" s="333" t="s">
        <v>644</v>
      </c>
      <c r="B111" s="322"/>
      <c r="C111" s="322"/>
      <c r="D111" s="322"/>
      <c r="E111" s="322"/>
      <c r="F111" s="322"/>
      <c r="G111" s="322"/>
      <c r="H111" s="322"/>
      <c r="I111" s="322"/>
      <c r="J111" s="322"/>
      <c r="K111" s="322"/>
      <c r="L111" s="322"/>
      <c r="M111" s="344"/>
      <c r="O111" s="116" t="s">
        <v>1139</v>
      </c>
      <c r="P111" s="21"/>
      <c r="Q111" s="117" t="s">
        <v>1138</v>
      </c>
      <c r="R111" s="21"/>
      <c r="S111" s="21"/>
      <c r="T111" s="21"/>
      <c r="U111" s="21"/>
      <c r="V111" s="21"/>
      <c r="W111" s="21"/>
      <c r="X111" s="21"/>
      <c r="Y111" s="21"/>
      <c r="Z111" s="28"/>
      <c r="AA111" s="1"/>
    </row>
    <row r="112" spans="1:27" ht="18" customHeight="1">
      <c r="A112" s="333" t="s">
        <v>637</v>
      </c>
      <c r="B112" s="322"/>
      <c r="C112" s="322"/>
      <c r="D112" s="322"/>
      <c r="E112" s="322"/>
      <c r="F112" s="322"/>
      <c r="G112" s="322"/>
      <c r="H112" s="322"/>
      <c r="I112" s="322"/>
      <c r="J112" s="322"/>
      <c r="K112" s="322"/>
      <c r="L112" s="322"/>
      <c r="M112" s="344"/>
      <c r="O112" s="15"/>
      <c r="P112" s="1"/>
      <c r="Q112" s="309" t="s">
        <v>1140</v>
      </c>
      <c r="R112" s="1"/>
      <c r="S112" s="1"/>
      <c r="T112" s="1"/>
      <c r="U112" s="1"/>
      <c r="V112" s="1"/>
      <c r="W112" s="1"/>
      <c r="X112" s="1"/>
      <c r="Y112" s="1"/>
      <c r="Z112" s="2"/>
      <c r="AA112" s="1"/>
    </row>
    <row r="113" spans="1:27" ht="18" customHeight="1">
      <c r="A113" s="345" t="s">
        <v>638</v>
      </c>
      <c r="B113" s="346"/>
      <c r="C113" s="346"/>
      <c r="D113" s="346"/>
      <c r="E113" s="346"/>
      <c r="F113" s="346"/>
      <c r="G113" s="346"/>
      <c r="H113" s="346"/>
      <c r="I113" s="346"/>
      <c r="J113" s="346"/>
      <c r="K113" s="346"/>
      <c r="L113" s="346"/>
      <c r="M113" s="347"/>
      <c r="O113" s="297"/>
      <c r="P113" s="184"/>
      <c r="Q113" s="29"/>
      <c r="R113" s="29"/>
      <c r="S113" s="29"/>
      <c r="T113" s="29"/>
      <c r="U113" s="29"/>
      <c r="V113" s="29"/>
      <c r="W113" s="29"/>
      <c r="X113" s="29"/>
      <c r="Y113" s="29"/>
      <c r="Z113" s="388"/>
      <c r="AA113" s="1"/>
    </row>
    <row r="114" spans="1:13" ht="18" customHeight="1">
      <c r="A114"/>
      <c r="B114"/>
      <c r="C114"/>
      <c r="D114"/>
      <c r="E114"/>
      <c r="F114"/>
      <c r="G114"/>
      <c r="H114"/>
      <c r="I114"/>
      <c r="J114"/>
      <c r="K114"/>
      <c r="L114"/>
      <c r="M114"/>
    </row>
    <row r="115" spans="1:21" ht="18" customHeight="1">
      <c r="A115"/>
      <c r="B115"/>
      <c r="C115"/>
      <c r="D115"/>
      <c r="E115"/>
      <c r="F115"/>
      <c r="G115"/>
      <c r="H115"/>
      <c r="I115"/>
      <c r="J115"/>
      <c r="K115"/>
      <c r="L115"/>
      <c r="M115"/>
      <c r="O115" s="131"/>
      <c r="P115" s="131"/>
      <c r="Q115" s="23"/>
      <c r="R115" s="23"/>
      <c r="S115" s="23"/>
      <c r="T115" s="23"/>
      <c r="U115" s="23"/>
    </row>
    <row r="116" spans="1:26" ht="18" customHeight="1">
      <c r="A116" s="294" t="s">
        <v>601</v>
      </c>
      <c r="B116" s="117"/>
      <c r="C116" s="117"/>
      <c r="D116" s="117"/>
      <c r="E116" s="117"/>
      <c r="F116" s="117"/>
      <c r="G116" s="117"/>
      <c r="H116" s="242">
        <f>15-skill_hea</f>
        <v>11</v>
      </c>
      <c r="I116" s="117" t="s">
        <v>602</v>
      </c>
      <c r="J116" s="117"/>
      <c r="K116" s="117"/>
      <c r="L116" s="117"/>
      <c r="M116" s="295"/>
      <c r="O116" s="294" t="s">
        <v>20</v>
      </c>
      <c r="P116" s="117"/>
      <c r="Q116" s="117" t="s">
        <v>109</v>
      </c>
      <c r="R116" s="21"/>
      <c r="S116" s="117"/>
      <c r="T116" s="117"/>
      <c r="U116" s="117"/>
      <c r="V116" s="117"/>
      <c r="W116" s="21"/>
      <c r="X116" s="117"/>
      <c r="Y116" s="492" t="s">
        <v>22</v>
      </c>
      <c r="Z116" s="243">
        <f>+D46+4+2+1</f>
        <v>16</v>
      </c>
    </row>
    <row r="117" spans="1:26" ht="18" customHeight="1">
      <c r="A117" s="137" t="s">
        <v>603</v>
      </c>
      <c r="B117" s="131"/>
      <c r="C117" s="131"/>
      <c r="D117" s="131"/>
      <c r="E117" s="131"/>
      <c r="F117" s="131"/>
      <c r="G117" s="131"/>
      <c r="H117" s="131"/>
      <c r="I117" s="131"/>
      <c r="J117" s="131"/>
      <c r="K117" s="131"/>
      <c r="L117" s="166">
        <f>15-skill_hea</f>
        <v>11</v>
      </c>
      <c r="M117" s="134"/>
      <c r="O117" s="493" t="s">
        <v>24</v>
      </c>
      <c r="P117" s="131"/>
      <c r="Q117" s="131"/>
      <c r="R117" s="131"/>
      <c r="S117" s="131"/>
      <c r="T117" s="131"/>
      <c r="U117" s="131"/>
      <c r="V117" s="1"/>
      <c r="W117" s="1"/>
      <c r="X117" s="1"/>
      <c r="Y117" s="1"/>
      <c r="Z117" s="2"/>
    </row>
    <row r="118" spans="1:26" ht="18" customHeight="1">
      <c r="A118" s="137" t="s">
        <v>604</v>
      </c>
      <c r="B118" s="131"/>
      <c r="C118" s="131"/>
      <c r="D118" s="131"/>
      <c r="E118" s="131"/>
      <c r="F118" s="131"/>
      <c r="G118" s="131"/>
      <c r="H118" s="131"/>
      <c r="I118" s="131"/>
      <c r="J118" s="166">
        <f>15-skill_hea</f>
        <v>11</v>
      </c>
      <c r="K118" s="131" t="s">
        <v>602</v>
      </c>
      <c r="L118" s="131"/>
      <c r="M118" s="134"/>
      <c r="O118" s="296"/>
      <c r="P118" s="131" t="s">
        <v>23</v>
      </c>
      <c r="Q118" s="131"/>
      <c r="R118" s="131"/>
      <c r="S118" s="131"/>
      <c r="T118" s="131"/>
      <c r="U118" s="131"/>
      <c r="V118" s="131"/>
      <c r="W118" s="131"/>
      <c r="X118" s="131"/>
      <c r="Y118" s="131"/>
      <c r="Z118" s="134"/>
    </row>
    <row r="119" spans="1:26" ht="18" customHeight="1">
      <c r="A119" s="137" t="s">
        <v>605</v>
      </c>
      <c r="B119" s="131"/>
      <c r="C119" s="131"/>
      <c r="D119" s="131"/>
      <c r="E119" s="131"/>
      <c r="F119" s="131"/>
      <c r="G119" s="131"/>
      <c r="H119" s="131"/>
      <c r="I119" s="131"/>
      <c r="J119" s="131"/>
      <c r="K119" s="131"/>
      <c r="L119" s="131"/>
      <c r="M119" s="134"/>
      <c r="O119" s="493" t="s">
        <v>25</v>
      </c>
      <c r="P119" s="131"/>
      <c r="Q119" s="131"/>
      <c r="R119" s="131"/>
      <c r="S119" s="131"/>
      <c r="T119" s="131"/>
      <c r="U119" s="131"/>
      <c r="V119" s="131"/>
      <c r="W119" s="131"/>
      <c r="X119" s="131"/>
      <c r="Y119" s="131"/>
      <c r="Z119" s="134"/>
    </row>
    <row r="120" spans="1:26" ht="18" customHeight="1">
      <c r="A120" s="186" t="s">
        <v>606</v>
      </c>
      <c r="B120" s="184"/>
      <c r="C120" s="184"/>
      <c r="D120" s="184"/>
      <c r="E120" s="184"/>
      <c r="F120" s="184"/>
      <c r="G120" s="184"/>
      <c r="H120" s="184"/>
      <c r="I120" s="184"/>
      <c r="J120" s="184"/>
      <c r="K120" s="184"/>
      <c r="L120" s="184"/>
      <c r="M120" s="298"/>
      <c r="O120" s="296"/>
      <c r="P120" s="131" t="s">
        <v>26</v>
      </c>
      <c r="Q120" s="131"/>
      <c r="R120" s="131"/>
      <c r="S120" s="131"/>
      <c r="T120" s="131"/>
      <c r="U120" s="131"/>
      <c r="V120" s="131"/>
      <c r="W120" s="131"/>
      <c r="X120" s="131"/>
      <c r="Y120" s="131"/>
      <c r="Z120" s="134"/>
    </row>
    <row r="121" spans="15:26" ht="18" customHeight="1">
      <c r="O121" s="137" t="s">
        <v>21</v>
      </c>
      <c r="P121" s="1"/>
      <c r="Q121" s="131"/>
      <c r="R121" s="131" t="s">
        <v>118</v>
      </c>
      <c r="S121" s="131"/>
      <c r="T121" s="131"/>
      <c r="U121" s="131"/>
      <c r="V121" s="131"/>
      <c r="W121" s="131"/>
      <c r="X121" s="131"/>
      <c r="Y121" s="303" t="s">
        <v>22</v>
      </c>
      <c r="Z121" s="407">
        <f>+D49</f>
        <v>8</v>
      </c>
    </row>
    <row r="122" spans="1:26" ht="18" customHeight="1">
      <c r="A122"/>
      <c r="B122"/>
      <c r="C122"/>
      <c r="D122"/>
      <c r="E122"/>
      <c r="F122"/>
      <c r="G122"/>
      <c r="H122"/>
      <c r="I122"/>
      <c r="J122"/>
      <c r="K122"/>
      <c r="L122"/>
      <c r="M122"/>
      <c r="N122" s="131"/>
      <c r="O122" s="296" t="s">
        <v>27</v>
      </c>
      <c r="P122" s="131"/>
      <c r="Q122" s="131"/>
      <c r="R122" s="131"/>
      <c r="S122" s="131"/>
      <c r="T122" s="131"/>
      <c r="U122" s="131"/>
      <c r="V122" s="131"/>
      <c r="W122" s="131"/>
      <c r="X122" s="131"/>
      <c r="Y122" s="131"/>
      <c r="Z122" s="134"/>
    </row>
    <row r="123" spans="1:26" ht="18" customHeight="1">
      <c r="A123" s="116" t="s">
        <v>607</v>
      </c>
      <c r="B123" s="117"/>
      <c r="C123" s="117"/>
      <c r="D123" s="117"/>
      <c r="E123" s="117"/>
      <c r="F123" s="117"/>
      <c r="G123" s="117"/>
      <c r="H123" s="117"/>
      <c r="I123" s="117" t="s">
        <v>608</v>
      </c>
      <c r="J123" s="117"/>
      <c r="K123" s="117"/>
      <c r="L123" s="117"/>
      <c r="M123" s="295"/>
      <c r="N123" s="131"/>
      <c r="O123" s="296"/>
      <c r="P123" s="131" t="s">
        <v>119</v>
      </c>
      <c r="Q123" s="131"/>
      <c r="R123" s="131"/>
      <c r="S123" s="131"/>
      <c r="T123" s="131"/>
      <c r="U123" s="131"/>
      <c r="V123" s="131"/>
      <c r="W123" s="131"/>
      <c r="X123" s="131"/>
      <c r="Y123" s="131"/>
      <c r="Z123" s="134"/>
    </row>
    <row r="124" spans="1:26" ht="18" customHeight="1">
      <c r="A124" s="296" t="s">
        <v>609</v>
      </c>
      <c r="B124" s="131"/>
      <c r="C124" s="131"/>
      <c r="D124" s="166">
        <f>10-skill_swm</f>
        <v>3</v>
      </c>
      <c r="E124" s="131" t="s">
        <v>610</v>
      </c>
      <c r="F124" s="131"/>
      <c r="G124" s="131"/>
      <c r="H124" s="166">
        <f>15-skill_swm</f>
        <v>8</v>
      </c>
      <c r="I124" s="131" t="s">
        <v>611</v>
      </c>
      <c r="J124" s="131"/>
      <c r="K124" s="131"/>
      <c r="L124" s="166">
        <f>20-skill_swm</f>
        <v>13</v>
      </c>
      <c r="M124" s="134"/>
      <c r="N124" s="131"/>
      <c r="O124" s="493" t="s">
        <v>28</v>
      </c>
      <c r="P124" s="1"/>
      <c r="Q124" s="131"/>
      <c r="R124" s="131"/>
      <c r="S124" s="131"/>
      <c r="T124" s="131"/>
      <c r="U124" s="131"/>
      <c r="V124" s="131"/>
      <c r="W124" s="131"/>
      <c r="X124" s="131"/>
      <c r="Y124" s="131"/>
      <c r="Z124" s="134"/>
    </row>
    <row r="125" spans="1:26" ht="18" customHeight="1">
      <c r="A125" s="296" t="s">
        <v>612</v>
      </c>
      <c r="B125" s="348"/>
      <c r="C125" s="348"/>
      <c r="D125" s="348"/>
      <c r="E125" s="348"/>
      <c r="F125" s="348"/>
      <c r="G125" s="348"/>
      <c r="H125" s="348"/>
      <c r="I125" s="348"/>
      <c r="J125" s="348"/>
      <c r="K125" s="131"/>
      <c r="L125" s="131"/>
      <c r="M125" s="134"/>
      <c r="N125" s="131"/>
      <c r="O125" s="493" t="s">
        <v>116</v>
      </c>
      <c r="P125" s="1"/>
      <c r="Q125" s="131"/>
      <c r="R125" s="131"/>
      <c r="S125" s="131"/>
      <c r="T125" s="131"/>
      <c r="U125" s="131"/>
      <c r="V125" s="131"/>
      <c r="W125" s="131"/>
      <c r="X125" s="131"/>
      <c r="Y125" s="131"/>
      <c r="Z125" s="134"/>
    </row>
    <row r="126" spans="1:26" ht="18" customHeight="1">
      <c r="A126" s="296" t="s">
        <v>625</v>
      </c>
      <c r="B126" s="348"/>
      <c r="C126" s="348"/>
      <c r="D126" s="348"/>
      <c r="E126" s="166">
        <f>15-skill_swm</f>
        <v>8</v>
      </c>
      <c r="F126" s="348"/>
      <c r="G126" s="348"/>
      <c r="H126" s="348"/>
      <c r="I126" s="348"/>
      <c r="J126" s="348"/>
      <c r="K126" s="131"/>
      <c r="L126" s="131"/>
      <c r="M126" s="134"/>
      <c r="N126" s="131"/>
      <c r="O126" s="493" t="s">
        <v>117</v>
      </c>
      <c r="P126" s="1"/>
      <c r="Q126" s="131"/>
      <c r="R126" s="131"/>
      <c r="S126" s="131"/>
      <c r="T126" s="131"/>
      <c r="U126" s="131"/>
      <c r="V126" s="131"/>
      <c r="W126" s="131"/>
      <c r="X126" s="131"/>
      <c r="Y126" s="131"/>
      <c r="Z126" s="134"/>
    </row>
    <row r="127" spans="1:26" ht="18" customHeight="1">
      <c r="A127" s="296" t="s">
        <v>621</v>
      </c>
      <c r="B127" s="131"/>
      <c r="C127" s="131"/>
      <c r="D127" s="166">
        <f>10*Chr_lvl</f>
        <v>40</v>
      </c>
      <c r="E127" s="131" t="s">
        <v>622</v>
      </c>
      <c r="F127" s="131"/>
      <c r="G127" s="131"/>
      <c r="H127" s="1"/>
      <c r="I127" s="131" t="s">
        <v>620</v>
      </c>
      <c r="J127" s="131"/>
      <c r="K127" s="131"/>
      <c r="L127" s="131"/>
      <c r="M127" s="2"/>
      <c r="N127" s="131"/>
      <c r="O127" s="137" t="s">
        <v>120</v>
      </c>
      <c r="P127" s="131"/>
      <c r="Q127" s="131"/>
      <c r="R127" s="131" t="s">
        <v>123</v>
      </c>
      <c r="S127" s="131"/>
      <c r="T127" s="131"/>
      <c r="U127" s="131"/>
      <c r="V127" s="131"/>
      <c r="W127" s="131"/>
      <c r="X127" s="303" t="s">
        <v>509</v>
      </c>
      <c r="Y127" s="166">
        <f>15-skill_srv</f>
        <v>7</v>
      </c>
      <c r="Z127" s="134"/>
    </row>
    <row r="128" spans="1:26" ht="18" customHeight="1">
      <c r="A128" s="296" t="s">
        <v>613</v>
      </c>
      <c r="B128" s="348"/>
      <c r="C128" s="348"/>
      <c r="D128" s="166">
        <f>2*con</f>
        <v>24</v>
      </c>
      <c r="E128" s="131" t="s">
        <v>614</v>
      </c>
      <c r="F128" s="131"/>
      <c r="G128" s="131"/>
      <c r="H128" s="131"/>
      <c r="I128" s="131"/>
      <c r="J128" s="131"/>
      <c r="K128" s="131"/>
      <c r="L128" s="131"/>
      <c r="M128" s="134"/>
      <c r="N128" s="131"/>
      <c r="O128" s="137" t="s">
        <v>121</v>
      </c>
      <c r="P128" s="131"/>
      <c r="Q128" s="131"/>
      <c r="R128" s="131"/>
      <c r="S128" s="131"/>
      <c r="T128" s="131" t="s">
        <v>124</v>
      </c>
      <c r="U128" s="131"/>
      <c r="V128" s="131"/>
      <c r="W128" s="131"/>
      <c r="X128" s="303" t="s">
        <v>509</v>
      </c>
      <c r="Y128" s="166">
        <f>15-skill_srv</f>
        <v>7</v>
      </c>
      <c r="Z128" s="134"/>
    </row>
    <row r="129" spans="1:26" ht="18" customHeight="1">
      <c r="A129" s="296" t="s">
        <v>623</v>
      </c>
      <c r="B129" s="348"/>
      <c r="C129" s="348"/>
      <c r="D129" s="166"/>
      <c r="E129" s="131"/>
      <c r="F129" s="131"/>
      <c r="G129" s="166">
        <f>15-skill_swm</f>
        <v>8</v>
      </c>
      <c r="H129" s="131" t="s">
        <v>627</v>
      </c>
      <c r="I129" s="131"/>
      <c r="J129" s="166" t="s">
        <v>376</v>
      </c>
      <c r="K129" s="131" t="s">
        <v>624</v>
      </c>
      <c r="L129" s="131"/>
      <c r="M129" s="134"/>
      <c r="N129" s="131"/>
      <c r="O129" s="186" t="s">
        <v>122</v>
      </c>
      <c r="P129" s="184"/>
      <c r="Q129" s="184"/>
      <c r="R129" s="184"/>
      <c r="S129" s="164"/>
      <c r="T129" s="494" t="s">
        <v>126</v>
      </c>
      <c r="U129" s="495" t="s">
        <v>509</v>
      </c>
      <c r="V129" s="496">
        <f>20-skill_srv</f>
        <v>12</v>
      </c>
      <c r="W129" s="497" t="s">
        <v>125</v>
      </c>
      <c r="X129" s="184"/>
      <c r="Y129" s="164"/>
      <c r="Z129" s="498"/>
    </row>
    <row r="130" spans="1:26" ht="18" customHeight="1">
      <c r="A130" s="296" t="s">
        <v>619</v>
      </c>
      <c r="B130" s="131"/>
      <c r="C130" s="131"/>
      <c r="D130" s="131"/>
      <c r="E130" s="131"/>
      <c r="F130" s="131"/>
      <c r="G130" s="131"/>
      <c r="H130" s="349"/>
      <c r="I130" s="166">
        <f>10-conmod</f>
        <v>9</v>
      </c>
      <c r="J130" s="157" t="s">
        <v>615</v>
      </c>
      <c r="K130" s="131"/>
      <c r="L130" s="131"/>
      <c r="M130" s="134"/>
      <c r="N130" s="131"/>
      <c r="O130" s="131"/>
      <c r="P130" s="131"/>
      <c r="Q130" s="131"/>
      <c r="R130" s="131"/>
      <c r="U130" s="131"/>
      <c r="V130" s="131"/>
      <c r="W130" s="131"/>
      <c r="X130" s="131"/>
      <c r="Y130" s="131"/>
      <c r="Z130" s="131"/>
    </row>
    <row r="131" spans="1:26" ht="18" customHeight="1">
      <c r="A131" s="296" t="s">
        <v>616</v>
      </c>
      <c r="B131" s="131"/>
      <c r="C131" s="131"/>
      <c r="D131" s="131"/>
      <c r="E131" s="131"/>
      <c r="F131" s="131"/>
      <c r="G131" s="131"/>
      <c r="H131" s="131"/>
      <c r="I131" s="131"/>
      <c r="J131" s="131"/>
      <c r="K131" s="131"/>
      <c r="L131" s="131"/>
      <c r="M131" s="134"/>
      <c r="N131" s="131"/>
      <c r="O131" s="131"/>
      <c r="P131" s="131"/>
      <c r="Q131" s="131"/>
      <c r="R131" s="131"/>
      <c r="S131" s="131"/>
      <c r="T131" s="131"/>
      <c r="U131" s="131"/>
      <c r="V131" s="47" t="s">
        <v>127</v>
      </c>
      <c r="W131" s="22"/>
      <c r="X131" s="22"/>
      <c r="Y131" s="22"/>
      <c r="Z131" s="306"/>
    </row>
    <row r="132" spans="1:26" ht="18" customHeight="1">
      <c r="A132" s="297" t="s">
        <v>617</v>
      </c>
      <c r="B132" s="184"/>
      <c r="C132" s="184"/>
      <c r="D132" s="184"/>
      <c r="E132" s="184"/>
      <c r="F132" s="184"/>
      <c r="G132" s="184"/>
      <c r="H132" s="184"/>
      <c r="I132" s="304">
        <f>20-skill_swm</f>
        <v>13</v>
      </c>
      <c r="J132" s="184" t="s">
        <v>618</v>
      </c>
      <c r="K132" s="184"/>
      <c r="L132" s="184"/>
      <c r="M132" s="298"/>
      <c r="N132" s="131"/>
      <c r="V132" s="490" t="s">
        <v>104</v>
      </c>
      <c r="W132" s="131"/>
      <c r="X132" s="131"/>
      <c r="Y132" s="131"/>
      <c r="Z132" s="134">
        <f>1125+440+2000-900-500-440-1350</f>
        <v>375</v>
      </c>
    </row>
    <row r="133" spans="1:26" ht="18" customHeight="1">
      <c r="A133" s="315"/>
      <c r="B133" s="301"/>
      <c r="C133" s="301"/>
      <c r="D133" s="301"/>
      <c r="E133" s="301"/>
      <c r="F133" s="301"/>
      <c r="G133" s="301"/>
      <c r="H133" s="301"/>
      <c r="I133" s="301"/>
      <c r="J133" s="301"/>
      <c r="K133" s="301"/>
      <c r="L133" s="301"/>
      <c r="M133" s="301"/>
      <c r="N133" s="131"/>
      <c r="V133" s="296" t="s">
        <v>110</v>
      </c>
      <c r="W133" s="131"/>
      <c r="X133" s="131"/>
      <c r="Y133" s="131"/>
      <c r="Z133" s="134"/>
    </row>
    <row r="134" spans="14:26" ht="18" customHeight="1">
      <c r="N134" s="131"/>
      <c r="V134" s="15"/>
      <c r="W134" s="1"/>
      <c r="X134" s="1"/>
      <c r="Y134" s="1"/>
      <c r="Z134" s="2"/>
    </row>
    <row r="135" spans="1:26" ht="18" customHeight="1">
      <c r="A135" s="391" t="s">
        <v>1136</v>
      </c>
      <c r="B135" s="392"/>
      <c r="C135" s="392"/>
      <c r="D135" s="392"/>
      <c r="E135" s="392"/>
      <c r="F135" s="392"/>
      <c r="G135" s="383"/>
      <c r="H135" s="383"/>
      <c r="I135" s="383"/>
      <c r="J135" s="383"/>
      <c r="K135" s="383"/>
      <c r="L135" s="383"/>
      <c r="M135" s="384"/>
      <c r="N135" s="131"/>
      <c r="V135" s="15"/>
      <c r="W135" s="1"/>
      <c r="X135" s="1"/>
      <c r="Y135" s="1"/>
      <c r="Z135" s="2"/>
    </row>
    <row r="136" spans="1:26" ht="18" customHeight="1">
      <c r="A136" s="385" t="s">
        <v>1130</v>
      </c>
      <c r="B136" s="315"/>
      <c r="C136" s="315"/>
      <c r="D136" s="315"/>
      <c r="E136" s="315"/>
      <c r="F136" s="315"/>
      <c r="G136" s="301"/>
      <c r="H136" s="301"/>
      <c r="I136" s="301"/>
      <c r="J136" s="301"/>
      <c r="K136" s="301"/>
      <c r="L136" s="301"/>
      <c r="M136" s="393"/>
      <c r="N136" s="131"/>
      <c r="V136" s="15"/>
      <c r="W136" s="1"/>
      <c r="X136" s="1"/>
      <c r="Y136" s="1"/>
      <c r="Z136" s="2"/>
    </row>
    <row r="137" spans="1:26" ht="18" customHeight="1">
      <c r="A137" s="394" t="s">
        <v>1131</v>
      </c>
      <c r="B137" s="1"/>
      <c r="C137" s="1"/>
      <c r="D137" s="315"/>
      <c r="E137" s="315"/>
      <c r="F137" s="315"/>
      <c r="G137" s="301"/>
      <c r="H137" s="301"/>
      <c r="I137" s="301"/>
      <c r="J137" s="301"/>
      <c r="K137" s="301"/>
      <c r="L137" s="301"/>
      <c r="M137" s="393"/>
      <c r="N137" s="131"/>
      <c r="V137" s="15"/>
      <c r="W137" s="1"/>
      <c r="X137" s="1"/>
      <c r="Y137" s="1"/>
      <c r="Z137" s="2"/>
    </row>
    <row r="138" spans="1:26" ht="18" customHeight="1">
      <c r="A138" s="395" t="s">
        <v>1135</v>
      </c>
      <c r="B138" s="1"/>
      <c r="C138" s="1"/>
      <c r="D138" s="315"/>
      <c r="E138" s="315"/>
      <c r="F138" s="315"/>
      <c r="G138" s="301"/>
      <c r="H138" s="301"/>
      <c r="I138" s="301"/>
      <c r="J138" s="301"/>
      <c r="K138" s="301"/>
      <c r="L138" s="301"/>
      <c r="M138" s="393"/>
      <c r="V138" s="15"/>
      <c r="W138" s="1"/>
      <c r="X138" s="1"/>
      <c r="Y138" s="1"/>
      <c r="Z138" s="134"/>
    </row>
    <row r="139" spans="1:26" ht="18" customHeight="1">
      <c r="A139" s="394" t="s">
        <v>1134</v>
      </c>
      <c r="B139" s="315"/>
      <c r="C139" s="315"/>
      <c r="D139" s="315"/>
      <c r="E139" s="315"/>
      <c r="F139" s="315"/>
      <c r="G139" s="301"/>
      <c r="H139" s="301"/>
      <c r="I139" s="301"/>
      <c r="J139" s="301"/>
      <c r="K139" s="301"/>
      <c r="L139" s="301"/>
      <c r="M139" s="393"/>
      <c r="V139" s="15"/>
      <c r="W139" s="1"/>
      <c r="X139" s="1"/>
      <c r="Y139" s="1"/>
      <c r="Z139" s="134"/>
    </row>
    <row r="140" spans="1:26" ht="18" customHeight="1">
      <c r="A140" s="395" t="s">
        <v>1137</v>
      </c>
      <c r="B140" s="315"/>
      <c r="C140" s="315"/>
      <c r="D140" s="315"/>
      <c r="E140" s="315"/>
      <c r="F140" s="315"/>
      <c r="G140" s="301"/>
      <c r="H140" s="301"/>
      <c r="I140" s="301"/>
      <c r="J140" s="301"/>
      <c r="K140" s="301"/>
      <c r="L140" s="301"/>
      <c r="M140" s="393"/>
      <c r="V140" s="15"/>
      <c r="W140" s="1"/>
      <c r="X140" s="1"/>
      <c r="Y140" s="1"/>
      <c r="Z140" s="134"/>
    </row>
    <row r="141" spans="1:26" ht="18" customHeight="1">
      <c r="A141" s="394" t="s">
        <v>1132</v>
      </c>
      <c r="B141" s="315"/>
      <c r="C141" s="315"/>
      <c r="D141" s="315"/>
      <c r="E141" s="315"/>
      <c r="F141" s="315"/>
      <c r="G141" s="301"/>
      <c r="H141" s="301"/>
      <c r="I141" s="301"/>
      <c r="J141" s="301"/>
      <c r="K141" s="301"/>
      <c r="L141" s="301"/>
      <c r="M141" s="393"/>
      <c r="V141" s="15"/>
      <c r="W141" s="1"/>
      <c r="X141" s="1"/>
      <c r="Y141" s="1"/>
      <c r="Z141" s="134"/>
    </row>
    <row r="142" spans="1:26" ht="18" customHeight="1">
      <c r="A142" s="397" t="s">
        <v>1133</v>
      </c>
      <c r="B142" s="398"/>
      <c r="C142" s="398"/>
      <c r="D142" s="398"/>
      <c r="E142" s="398"/>
      <c r="F142" s="398"/>
      <c r="G142" s="399"/>
      <c r="H142" s="399"/>
      <c r="I142" s="399"/>
      <c r="J142" s="399"/>
      <c r="K142" s="399"/>
      <c r="L142" s="399"/>
      <c r="M142" s="400"/>
      <c r="V142" s="16"/>
      <c r="W142" s="164"/>
      <c r="X142" s="164"/>
      <c r="Y142" s="164"/>
      <c r="Z142" s="207"/>
    </row>
    <row r="143" spans="22:26" ht="18" customHeight="1">
      <c r="V143" s="1"/>
      <c r="W143" s="1"/>
      <c r="X143" s="1"/>
      <c r="Y143" s="1"/>
      <c r="Z143" s="131"/>
    </row>
    <row r="144" spans="22:26" ht="18" customHeight="1">
      <c r="V144" s="1"/>
      <c r="W144" s="1"/>
      <c r="X144" s="1"/>
      <c r="Y144" s="1"/>
      <c r="Z144" s="131"/>
    </row>
    <row r="145" spans="22:26" ht="18" customHeight="1">
      <c r="V145" s="1"/>
      <c r="W145" s="1"/>
      <c r="X145" s="1"/>
      <c r="Y145" s="1"/>
      <c r="Z145" s="131"/>
    </row>
    <row r="146" spans="1:26" ht="18" customHeight="1">
      <c r="A146" s="9" t="s">
        <v>51</v>
      </c>
      <c r="B146" s="9" t="s">
        <v>52</v>
      </c>
      <c r="V146" s="1"/>
      <c r="W146" s="1"/>
      <c r="X146" s="1"/>
      <c r="Y146" s="1"/>
      <c r="Z146" s="131"/>
    </row>
    <row r="147" spans="1:26" ht="18" customHeight="1">
      <c r="A147" s="9" t="s">
        <v>53</v>
      </c>
      <c r="V147" s="1"/>
      <c r="W147" s="1"/>
      <c r="X147" s="1"/>
      <c r="Y147" s="1"/>
      <c r="Z147" s="131"/>
    </row>
    <row r="148" spans="1:26" ht="18" customHeight="1">
      <c r="A148" s="9" t="s">
        <v>54</v>
      </c>
      <c r="V148" s="1"/>
      <c r="W148" s="1"/>
      <c r="X148" s="1"/>
      <c r="Y148" s="1"/>
      <c r="Z148" s="131"/>
    </row>
    <row r="149" spans="1:26" ht="18" customHeight="1">
      <c r="A149" s="9" t="s">
        <v>55</v>
      </c>
      <c r="V149" s="1"/>
      <c r="W149" s="1"/>
      <c r="X149" s="1"/>
      <c r="Y149" s="1"/>
      <c r="Z149" s="131"/>
    </row>
    <row r="150" spans="22:26" ht="18" customHeight="1">
      <c r="V150" s="1"/>
      <c r="W150" s="1"/>
      <c r="X150" s="1"/>
      <c r="Y150" s="1"/>
      <c r="Z150" s="1"/>
    </row>
    <row r="151" spans="22:26" ht="18" customHeight="1">
      <c r="V151" s="1"/>
      <c r="W151" s="1"/>
      <c r="X151" s="1"/>
      <c r="Y151" s="1"/>
      <c r="Z151" s="1"/>
    </row>
    <row r="152" spans="22:26" ht="18" customHeight="1">
      <c r="V152" s="1"/>
      <c r="W152" s="1"/>
      <c r="X152" s="1"/>
      <c r="Y152" s="1"/>
      <c r="Z152" s="1"/>
    </row>
    <row r="153" spans="22:26" ht="18" customHeight="1">
      <c r="V153" s="1"/>
      <c r="W153" s="1"/>
      <c r="X153" s="1"/>
      <c r="Y153" s="1"/>
      <c r="Z153" s="131"/>
    </row>
    <row r="154" spans="22:26" ht="18" customHeight="1">
      <c r="V154" s="1"/>
      <c r="W154" s="1"/>
      <c r="X154" s="1"/>
      <c r="Y154" s="1"/>
      <c r="Z154" s="1"/>
    </row>
    <row r="155" spans="22:26" ht="18" customHeight="1">
      <c r="V155" s="1"/>
      <c r="W155" s="1"/>
      <c r="X155" s="1"/>
      <c r="Y155" s="1"/>
      <c r="Z155" s="1"/>
    </row>
    <row r="156" spans="22:26" ht="18" customHeight="1">
      <c r="V156" s="1"/>
      <c r="W156" s="1"/>
      <c r="X156" s="1"/>
      <c r="Y156" s="1"/>
      <c r="Z156" s="1"/>
    </row>
    <row r="157" spans="22:26" ht="18" customHeight="1">
      <c r="V157" s="1"/>
      <c r="W157" s="1"/>
      <c r="X157" s="1"/>
      <c r="Y157" s="1"/>
      <c r="Z157" s="1"/>
    </row>
    <row r="158" spans="15:26" ht="18" customHeight="1">
      <c r="O158" s="322"/>
      <c r="P158" s="322"/>
      <c r="Q158" s="322"/>
      <c r="R158" s="322"/>
      <c r="S158" s="322"/>
      <c r="T158" s="322"/>
      <c r="U158" s="322"/>
      <c r="V158" s="1"/>
      <c r="W158" s="1"/>
      <c r="X158" s="1"/>
      <c r="Y158" s="1"/>
      <c r="Z158" s="1"/>
    </row>
    <row r="159" spans="15:26" ht="18" customHeight="1">
      <c r="O159" s="322"/>
      <c r="P159" s="322"/>
      <c r="Q159" s="322"/>
      <c r="R159" s="322"/>
      <c r="S159" s="322"/>
      <c r="T159" s="322"/>
      <c r="U159" s="322"/>
      <c r="V159" s="1"/>
      <c r="W159" s="1"/>
      <c r="X159" s="1"/>
      <c r="Y159" s="1"/>
      <c r="Z159" s="1"/>
    </row>
    <row r="160" spans="15:26" ht="18" customHeight="1">
      <c r="O160" s="322"/>
      <c r="P160" s="322"/>
      <c r="Q160" s="322"/>
      <c r="R160" s="322"/>
      <c r="S160" s="322"/>
      <c r="T160" s="322"/>
      <c r="U160" s="322"/>
      <c r="V160" s="322"/>
      <c r="W160" s="322"/>
      <c r="X160" s="322"/>
      <c r="Y160" s="322"/>
      <c r="Z160" s="1"/>
    </row>
    <row r="161" spans="15:26" ht="18" customHeight="1">
      <c r="O161" s="322"/>
      <c r="P161" s="322"/>
      <c r="Q161" s="322"/>
      <c r="R161" s="322"/>
      <c r="S161" s="322"/>
      <c r="T161" s="322"/>
      <c r="U161" s="322"/>
      <c r="V161" s="322"/>
      <c r="W161" s="322"/>
      <c r="X161" s="322"/>
      <c r="Y161" s="322"/>
      <c r="Z161" s="1"/>
    </row>
    <row r="162" spans="15:26" ht="18" customHeight="1">
      <c r="O162" s="322"/>
      <c r="P162" s="322"/>
      <c r="Q162" s="322"/>
      <c r="R162" s="322"/>
      <c r="S162" s="322"/>
      <c r="T162" s="322"/>
      <c r="U162" s="322"/>
      <c r="V162" s="322"/>
      <c r="W162" s="322"/>
      <c r="X162" s="322"/>
      <c r="Y162" s="322"/>
      <c r="Z162" s="1"/>
    </row>
    <row r="163" spans="15:26" ht="18" customHeight="1">
      <c r="O163" s="322"/>
      <c r="P163" s="322"/>
      <c r="Q163" s="322"/>
      <c r="R163" s="322"/>
      <c r="S163" s="322"/>
      <c r="T163" s="322"/>
      <c r="U163" s="322"/>
      <c r="V163" s="322"/>
      <c r="W163" s="322"/>
      <c r="X163" s="322"/>
      <c r="Y163" s="322"/>
      <c r="Z163" s="1"/>
    </row>
    <row r="164" spans="15:25" ht="18" customHeight="1">
      <c r="O164" s="322"/>
      <c r="P164" s="322"/>
      <c r="Q164" s="322"/>
      <c r="R164" s="322"/>
      <c r="S164" s="322"/>
      <c r="T164" s="322"/>
      <c r="U164" s="322"/>
      <c r="V164" s="322"/>
      <c r="W164" s="322"/>
      <c r="X164" s="322"/>
      <c r="Y164" s="322"/>
    </row>
    <row r="165" spans="15:25" ht="18" customHeight="1">
      <c r="O165" s="322"/>
      <c r="P165" s="322"/>
      <c r="Q165" s="322"/>
      <c r="R165" s="322"/>
      <c r="S165" s="322"/>
      <c r="T165" s="322"/>
      <c r="U165" s="322"/>
      <c r="V165" s="322"/>
      <c r="W165" s="322"/>
      <c r="X165" s="322"/>
      <c r="Y165" s="322"/>
    </row>
    <row r="166" spans="15:25" ht="18" customHeight="1">
      <c r="O166" s="322"/>
      <c r="P166" s="322"/>
      <c r="Q166" s="322"/>
      <c r="R166" s="322"/>
      <c r="S166" s="322"/>
      <c r="T166" s="322"/>
      <c r="U166" s="322"/>
      <c r="V166" s="322"/>
      <c r="W166" s="322"/>
      <c r="X166" s="322"/>
      <c r="Y166" s="322"/>
    </row>
    <row r="167" spans="15:25" ht="18" customHeight="1">
      <c r="O167" s="322"/>
      <c r="P167" s="322"/>
      <c r="Q167" s="322"/>
      <c r="R167" s="322"/>
      <c r="S167" s="322"/>
      <c r="T167" s="322"/>
      <c r="U167" s="322"/>
      <c r="V167" s="322"/>
      <c r="W167" s="322"/>
      <c r="X167" s="322"/>
      <c r="Y167" s="322"/>
    </row>
    <row r="168" spans="15:25" ht="18" customHeight="1">
      <c r="O168" s="322"/>
      <c r="P168" s="322"/>
      <c r="Q168" s="322"/>
      <c r="R168" s="322"/>
      <c r="S168" s="322"/>
      <c r="T168" s="322"/>
      <c r="U168" s="322"/>
      <c r="V168" s="322"/>
      <c r="W168" s="322"/>
      <c r="X168" s="322"/>
      <c r="Y168" s="322"/>
    </row>
  </sheetData>
  <mergeCells count="10">
    <mergeCell ref="AI3:AJ3"/>
    <mergeCell ref="K3:L3"/>
    <mergeCell ref="K5:L5"/>
    <mergeCell ref="K7:L7"/>
    <mergeCell ref="O3:P3"/>
    <mergeCell ref="U3:V3"/>
    <mergeCell ref="A81:A86"/>
    <mergeCell ref="C98:D98"/>
    <mergeCell ref="U45:U47"/>
    <mergeCell ref="AC3:AD3"/>
  </mergeCells>
  <printOptions/>
  <pageMargins left="0.22" right="0.15" top="0.24" bottom="0.12" header="0.27" footer="0.22"/>
  <pageSetup fitToHeight="1" fitToWidth="1" horizontalDpi="600" verticalDpi="600" orientation="portrait" paperSize="9" scale="65" r:id="rId5"/>
  <drawing r:id="rId4"/>
  <legacyDrawing r:id="rId3"/>
  <oleObjects>
    <oleObject progId="CorelPHOTOPAINT.Image.13" shapeId="6210726" r:id="rId2"/>
  </oleObjects>
</worksheet>
</file>

<file path=xl/worksheets/sheet2.xml><?xml version="1.0" encoding="utf-8"?>
<worksheet xmlns="http://schemas.openxmlformats.org/spreadsheetml/2006/main" xmlns:r="http://schemas.openxmlformats.org/officeDocument/2006/relationships">
  <sheetPr>
    <pageSetUpPr fitToPage="1"/>
  </sheetPr>
  <dimension ref="A2:A30"/>
  <sheetViews>
    <sheetView workbookViewId="0" topLeftCell="A1">
      <selection activeCell="A2" sqref="A2:L30"/>
    </sheetView>
  </sheetViews>
  <sheetFormatPr defaultColWidth="8.796875" defaultRowHeight="15.75"/>
  <sheetData>
    <row r="2" ht="15.75">
      <c r="A2" t="s">
        <v>1166</v>
      </c>
    </row>
    <row r="4" ht="15.75">
      <c r="A4" t="s">
        <v>1167</v>
      </c>
    </row>
    <row r="5" ht="15.75">
      <c r="A5" t="s">
        <v>1146</v>
      </c>
    </row>
    <row r="6" ht="15.75">
      <c r="A6" t="s">
        <v>1147</v>
      </c>
    </row>
    <row r="7" ht="15.75">
      <c r="A7" t="s">
        <v>1148</v>
      </c>
    </row>
    <row r="8" ht="15.75">
      <c r="A8" t="s">
        <v>1149</v>
      </c>
    </row>
    <row r="9" ht="15.75">
      <c r="A9" t="s">
        <v>1150</v>
      </c>
    </row>
    <row r="10" ht="15.75">
      <c r="A10" t="s">
        <v>1151</v>
      </c>
    </row>
    <row r="12" ht="15.75">
      <c r="A12" t="s">
        <v>1152</v>
      </c>
    </row>
    <row r="14" ht="15.75">
      <c r="A14" t="s">
        <v>1153</v>
      </c>
    </row>
    <row r="15" ht="15.75">
      <c r="A15" t="s">
        <v>1154</v>
      </c>
    </row>
    <row r="16" ht="15.75">
      <c r="A16" t="s">
        <v>1155</v>
      </c>
    </row>
    <row r="18" ht="15.75">
      <c r="A18" t="s">
        <v>1156</v>
      </c>
    </row>
    <row r="19" ht="15.75">
      <c r="A19" t="s">
        <v>1157</v>
      </c>
    </row>
    <row r="21" ht="15.75">
      <c r="A21" t="s">
        <v>1158</v>
      </c>
    </row>
    <row r="22" ht="15.75">
      <c r="A22" t="s">
        <v>1159</v>
      </c>
    </row>
    <row r="23" ht="15.75">
      <c r="A23" t="s">
        <v>1160</v>
      </c>
    </row>
    <row r="25" ht="15.75">
      <c r="A25" t="s">
        <v>1161</v>
      </c>
    </row>
    <row r="26" ht="15.75">
      <c r="A26" t="s">
        <v>1162</v>
      </c>
    </row>
    <row r="27" ht="15.75">
      <c r="A27" t="s">
        <v>1163</v>
      </c>
    </row>
    <row r="28" ht="15.75">
      <c r="A28" t="s">
        <v>1164</v>
      </c>
    </row>
    <row r="30" ht="15.75">
      <c r="A30" t="s">
        <v>1165</v>
      </c>
    </row>
  </sheetData>
  <printOptions/>
  <pageMargins left="0.32" right="0.22" top="1" bottom="1" header="0" footer="0"/>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AJ159"/>
  <sheetViews>
    <sheetView zoomScale="90" zoomScaleNormal="90" workbookViewId="0" topLeftCell="A1">
      <pane ySplit="3" topLeftCell="BM4" activePane="bottomLeft" state="frozen"/>
      <selection pane="topLeft" activeCell="A1" sqref="A1"/>
      <selection pane="bottomLeft" activeCell="K8" sqref="K8"/>
    </sheetView>
  </sheetViews>
  <sheetFormatPr defaultColWidth="8.796875" defaultRowHeight="15.75"/>
  <cols>
    <col min="1" max="1" width="2" style="259" customWidth="1"/>
    <col min="2" max="2" width="14.19921875" style="210" customWidth="1"/>
    <col min="3" max="3" width="10.796875" style="270" hidden="1" customWidth="1"/>
    <col min="4" max="4" width="3.19921875" style="311" hidden="1" customWidth="1"/>
    <col min="5" max="5" width="45.796875" style="212" customWidth="1"/>
    <col min="6" max="6" width="4.19921875" style="259" bestFit="1" customWidth="1"/>
    <col min="7" max="7" width="4" style="246" customWidth="1"/>
    <col min="8" max="8" width="3.8984375" style="246" customWidth="1"/>
    <col min="9" max="9" width="5" style="246" customWidth="1"/>
    <col min="10" max="10" width="5.796875" style="246" customWidth="1"/>
    <col min="11" max="11" width="13" style="246" customWidth="1"/>
    <col min="12" max="12" width="9.296875" style="246" customWidth="1"/>
    <col min="13" max="13" width="11.09765625" style="259" customWidth="1"/>
    <col min="14" max="14" width="6.296875" style="259" customWidth="1"/>
    <col min="15" max="16" width="7.296875" style="209" customWidth="1"/>
    <col min="17" max="19" width="2.296875" style="246" customWidth="1"/>
    <col min="20" max="20" width="6.796875" style="246" customWidth="1"/>
    <col min="21" max="21" width="11.69921875" style="212" customWidth="1"/>
    <col min="22" max="22" width="4.796875" style="212" customWidth="1"/>
    <col min="23" max="23" width="7.69921875" style="212" customWidth="1"/>
    <col min="24" max="24" width="4.796875" style="211" customWidth="1"/>
    <col min="25" max="25" width="5.09765625" style="212" customWidth="1"/>
    <col min="26" max="31" width="4.796875" style="212" customWidth="1"/>
    <col min="32" max="16384" width="8.8984375" style="212" customWidth="1"/>
  </cols>
  <sheetData>
    <row r="1" spans="14:36" ht="15.75">
      <c r="N1" s="260"/>
      <c r="O1" s="224"/>
      <c r="P1" s="224"/>
      <c r="Q1" s="253"/>
      <c r="R1" s="253"/>
      <c r="S1" s="253"/>
      <c r="T1" s="253"/>
      <c r="U1" s="213"/>
      <c r="V1" s="213"/>
      <c r="W1" s="213"/>
      <c r="Z1" s="213"/>
      <c r="AA1" s="213"/>
      <c r="AD1" s="214"/>
      <c r="AE1" s="215"/>
      <c r="AF1" s="215"/>
      <c r="AG1" s="215"/>
      <c r="AH1" s="216"/>
      <c r="AI1" s="215"/>
      <c r="AJ1" s="215"/>
    </row>
    <row r="2" spans="14:36" ht="3" customHeight="1">
      <c r="N2" s="260"/>
      <c r="O2" s="224"/>
      <c r="P2" s="224"/>
      <c r="Q2" s="253"/>
      <c r="R2" s="253"/>
      <c r="S2" s="253"/>
      <c r="T2" s="253"/>
      <c r="U2" s="213"/>
      <c r="V2" s="213"/>
      <c r="W2" s="213"/>
      <c r="Z2" s="213"/>
      <c r="AA2" s="213"/>
      <c r="AD2" s="214"/>
      <c r="AE2" s="215"/>
      <c r="AF2" s="215"/>
      <c r="AG2" s="215"/>
      <c r="AH2" s="216"/>
      <c r="AI2" s="215"/>
      <c r="AJ2" s="215"/>
    </row>
    <row r="3" spans="1:27" s="228" customFormat="1" ht="27" customHeight="1">
      <c r="A3" s="248" t="s">
        <v>344</v>
      </c>
      <c r="B3" s="225" t="s">
        <v>343</v>
      </c>
      <c r="C3" s="271" t="s">
        <v>361</v>
      </c>
      <c r="D3" s="271" t="s">
        <v>362</v>
      </c>
      <c r="E3" s="225" t="s">
        <v>345</v>
      </c>
      <c r="F3" s="248" t="s">
        <v>1169</v>
      </c>
      <c r="G3" s="248" t="s">
        <v>334</v>
      </c>
      <c r="H3" s="247" t="s">
        <v>360</v>
      </c>
      <c r="I3" s="248" t="s">
        <v>346</v>
      </c>
      <c r="J3" s="247" t="s">
        <v>347</v>
      </c>
      <c r="K3" s="248" t="s">
        <v>348</v>
      </c>
      <c r="L3" s="247" t="s">
        <v>349</v>
      </c>
      <c r="M3" s="248" t="s">
        <v>166</v>
      </c>
      <c r="N3" s="248" t="s">
        <v>481</v>
      </c>
      <c r="O3" s="545" t="s">
        <v>484</v>
      </c>
      <c r="P3" s="545"/>
      <c r="Q3" s="544" t="s">
        <v>482</v>
      </c>
      <c r="R3" s="544"/>
      <c r="S3" s="544"/>
      <c r="T3" s="248" t="s">
        <v>418</v>
      </c>
      <c r="U3" s="226" t="s">
        <v>499</v>
      </c>
      <c r="V3" s="226"/>
      <c r="W3" s="226"/>
      <c r="X3" s="227"/>
      <c r="Y3" s="225"/>
      <c r="Z3" s="226"/>
      <c r="AA3" s="226"/>
    </row>
    <row r="4" spans="1:27" s="221" customFormat="1" ht="15" hidden="1">
      <c r="A4" s="255">
        <v>0</v>
      </c>
      <c r="B4" s="415" t="s">
        <v>694</v>
      </c>
      <c r="C4" s="444"/>
      <c r="D4" s="445"/>
      <c r="E4" s="416"/>
      <c r="F4" s="255"/>
      <c r="G4" s="250"/>
      <c r="H4" s="250"/>
      <c r="I4" s="250"/>
      <c r="J4" s="250"/>
      <c r="K4" s="250"/>
      <c r="L4" s="250"/>
      <c r="M4" s="262"/>
      <c r="N4" s="262"/>
      <c r="O4" s="414" t="str">
        <f aca="true" t="shared" si="0" ref="O4:O36">"rul "&amp;(10+A4)-skill_con&amp;"+dmg"</f>
        <v>rul 6+dmg</v>
      </c>
      <c r="P4" s="414" t="str">
        <f aca="true" t="shared" si="1" ref="P4:P36">"rul "&amp;(15+A4)-(skill_con)</f>
        <v>rul 11</v>
      </c>
      <c r="Q4" s="250"/>
      <c r="R4" s="250"/>
      <c r="S4" s="257"/>
      <c r="T4" s="250"/>
      <c r="U4" s="229"/>
      <c r="V4" s="229"/>
      <c r="W4" s="229"/>
      <c r="X4" s="231"/>
      <c r="Y4" s="229"/>
      <c r="Z4" s="229"/>
      <c r="AA4" s="229"/>
    </row>
    <row r="5" spans="1:27" s="237" customFormat="1" ht="27">
      <c r="A5" s="254">
        <v>0</v>
      </c>
      <c r="B5" s="238" t="s">
        <v>665</v>
      </c>
      <c r="C5" s="272"/>
      <c r="D5" s="313"/>
      <c r="E5" s="240" t="str">
        <f>"Skaber op til "&amp;4*Class1_lvl&amp;" liter vand. I beholder eller som nedebør på meget lille areal."</f>
        <v>Skaber op til 12 liter vand. I beholder eller som nedebør på meget lille areal.</v>
      </c>
      <c r="F5" s="505" t="s">
        <v>1172</v>
      </c>
      <c r="G5" s="249" t="s">
        <v>1173</v>
      </c>
      <c r="H5" s="249" t="s">
        <v>1171</v>
      </c>
      <c r="I5" s="249" t="s">
        <v>411</v>
      </c>
      <c r="J5" s="261" t="str">
        <f>25+5*(Class1_lvl/2)&amp;" f."</f>
        <v>32,5 f.</v>
      </c>
      <c r="K5" s="266" t="s">
        <v>336</v>
      </c>
      <c r="L5" s="254" t="s">
        <v>423</v>
      </c>
      <c r="M5" s="265" t="s">
        <v>336</v>
      </c>
      <c r="N5" s="265" t="s">
        <v>336</v>
      </c>
      <c r="O5" s="258" t="str">
        <f t="shared" si="0"/>
        <v>rul 6+dmg</v>
      </c>
      <c r="P5" s="258" t="str">
        <f t="shared" si="1"/>
        <v>rul 11</v>
      </c>
      <c r="Q5" s="249" t="s">
        <v>416</v>
      </c>
      <c r="R5" s="249" t="s">
        <v>417</v>
      </c>
      <c r="S5" s="256"/>
      <c r="T5" s="249"/>
      <c r="U5" s="235"/>
      <c r="V5" s="236"/>
      <c r="W5" s="236"/>
      <c r="X5" s="233"/>
      <c r="Y5" s="235"/>
      <c r="Z5" s="236"/>
      <c r="AA5" s="236"/>
    </row>
    <row r="6" spans="1:27" s="221" customFormat="1" ht="15" hidden="1">
      <c r="A6" s="255">
        <v>0</v>
      </c>
      <c r="B6" s="230" t="s">
        <v>669</v>
      </c>
      <c r="C6" s="446"/>
      <c r="D6" s="447"/>
      <c r="E6" s="229" t="s">
        <v>1177</v>
      </c>
      <c r="F6" s="263" t="s">
        <v>336</v>
      </c>
      <c r="G6" s="250" t="s">
        <v>1173</v>
      </c>
      <c r="H6" s="250" t="s">
        <v>391</v>
      </c>
      <c r="I6" s="250" t="s">
        <v>411</v>
      </c>
      <c r="J6" s="250" t="s">
        <v>413</v>
      </c>
      <c r="K6" s="250" t="s">
        <v>414</v>
      </c>
      <c r="L6" s="250" t="s">
        <v>423</v>
      </c>
      <c r="M6" s="262" t="str">
        <f>"(Will DC "&amp;10+A6+wismod&amp;" half)"</f>
        <v>(Will DC 14 half)</v>
      </c>
      <c r="N6" s="262" t="str">
        <f>"(d20 + "&amp;Class1_lvl&amp;")"</f>
        <v>(d20 + 3)</v>
      </c>
      <c r="O6" s="414" t="str">
        <f t="shared" si="0"/>
        <v>rul 6+dmg</v>
      </c>
      <c r="P6" s="414" t="str">
        <f t="shared" si="1"/>
        <v>rul 11</v>
      </c>
      <c r="Q6" s="250" t="s">
        <v>416</v>
      </c>
      <c r="R6" s="250" t="s">
        <v>417</v>
      </c>
      <c r="S6" s="257"/>
      <c r="T6" s="250"/>
      <c r="U6" s="229"/>
      <c r="V6" s="229"/>
      <c r="W6" s="229"/>
      <c r="X6" s="231"/>
      <c r="Y6" s="229"/>
      <c r="Z6" s="229"/>
      <c r="AA6" s="229"/>
    </row>
    <row r="7" spans="1:27" s="237" customFormat="1" ht="27">
      <c r="A7" s="254">
        <v>0</v>
      </c>
      <c r="B7" s="238" t="s">
        <v>352</v>
      </c>
      <c r="C7" s="272"/>
      <c r="D7" s="313">
        <v>1</v>
      </c>
      <c r="E7" s="235" t="s">
        <v>421</v>
      </c>
      <c r="F7" s="265" t="s">
        <v>336</v>
      </c>
      <c r="G7" s="249" t="s">
        <v>342</v>
      </c>
      <c r="H7" s="249" t="s">
        <v>389</v>
      </c>
      <c r="I7" s="249" t="s">
        <v>411</v>
      </c>
      <c r="J7" s="249" t="s">
        <v>419</v>
      </c>
      <c r="K7" s="249" t="s">
        <v>420</v>
      </c>
      <c r="L7" s="261" t="str">
        <f>Class1_lvl&amp;" min. (D)"</f>
        <v>3 min. (D)</v>
      </c>
      <c r="M7" s="254" t="s">
        <v>427</v>
      </c>
      <c r="N7" s="254" t="s">
        <v>427</v>
      </c>
      <c r="O7" s="258" t="str">
        <f t="shared" si="0"/>
        <v>rul 6+dmg</v>
      </c>
      <c r="P7" s="258" t="str">
        <f t="shared" si="1"/>
        <v>rul 11</v>
      </c>
      <c r="Q7" s="249" t="s">
        <v>416</v>
      </c>
      <c r="R7" s="249" t="s">
        <v>417</v>
      </c>
      <c r="S7" s="256"/>
      <c r="T7" s="249"/>
      <c r="U7" s="235"/>
      <c r="V7" s="235"/>
      <c r="W7" s="235"/>
      <c r="X7" s="239"/>
      <c r="Y7" s="235"/>
      <c r="Z7" s="235"/>
      <c r="AA7" s="235"/>
    </row>
    <row r="8" spans="1:27" s="221" customFormat="1" ht="27">
      <c r="A8" s="255">
        <v>0</v>
      </c>
      <c r="B8" s="230" t="s">
        <v>351</v>
      </c>
      <c r="C8" s="446"/>
      <c r="D8" s="447"/>
      <c r="E8" s="229" t="s">
        <v>422</v>
      </c>
      <c r="F8" s="263" t="s">
        <v>336</v>
      </c>
      <c r="G8" s="250" t="s">
        <v>342</v>
      </c>
      <c r="H8" s="250" t="s">
        <v>389</v>
      </c>
      <c r="I8" s="250" t="s">
        <v>411</v>
      </c>
      <c r="J8" s="262" t="str">
        <f>25+5*(Class1_lvl/2)&amp;" f."</f>
        <v>32,5 f.</v>
      </c>
      <c r="K8" s="250" t="s">
        <v>483</v>
      </c>
      <c r="L8" s="255" t="s">
        <v>423</v>
      </c>
      <c r="M8" s="255" t="s">
        <v>427</v>
      </c>
      <c r="N8" s="255" t="s">
        <v>427</v>
      </c>
      <c r="O8" s="414" t="str">
        <f t="shared" si="0"/>
        <v>rul 6+dmg</v>
      </c>
      <c r="P8" s="414" t="str">
        <f t="shared" si="1"/>
        <v>rul 11</v>
      </c>
      <c r="Q8" s="250" t="s">
        <v>416</v>
      </c>
      <c r="R8" s="250" t="s">
        <v>417</v>
      </c>
      <c r="S8" s="257"/>
      <c r="T8" s="250"/>
      <c r="U8" s="229"/>
      <c r="V8" s="229"/>
      <c r="W8" s="229"/>
      <c r="X8" s="231"/>
      <c r="Y8" s="229"/>
      <c r="Z8" s="229"/>
      <c r="AA8" s="229"/>
    </row>
    <row r="9" spans="1:27" s="237" customFormat="1" ht="27">
      <c r="A9" s="254">
        <v>0</v>
      </c>
      <c r="B9" s="238" t="s">
        <v>679</v>
      </c>
      <c r="C9" s="272"/>
      <c r="D9" s="313"/>
      <c r="E9" s="235" t="s">
        <v>1176</v>
      </c>
      <c r="F9" s="265" t="s">
        <v>336</v>
      </c>
      <c r="G9" s="249" t="s">
        <v>342</v>
      </c>
      <c r="H9" s="249" t="s">
        <v>1174</v>
      </c>
      <c r="I9" s="249" t="s">
        <v>411</v>
      </c>
      <c r="J9" s="249" t="s">
        <v>413</v>
      </c>
      <c r="K9" s="249" t="s">
        <v>414</v>
      </c>
      <c r="L9" s="249" t="s">
        <v>1175</v>
      </c>
      <c r="M9" s="261" t="str">
        <f>"(Will DC "&amp;10+A9+wismod&amp;" negate)"</f>
        <v>(Will DC 14 negate)</v>
      </c>
      <c r="N9" s="261" t="str">
        <f>"(d20 + "&amp;Class1_lvl&amp;")"</f>
        <v>(d20 + 3)</v>
      </c>
      <c r="O9" s="258" t="str">
        <f t="shared" si="0"/>
        <v>rul 6+dmg</v>
      </c>
      <c r="P9" s="258" t="str">
        <f t="shared" si="1"/>
        <v>rul 11</v>
      </c>
      <c r="Q9" s="249" t="s">
        <v>416</v>
      </c>
      <c r="R9" s="249" t="s">
        <v>417</v>
      </c>
      <c r="S9" s="256"/>
      <c r="T9" s="249"/>
      <c r="U9" s="235"/>
      <c r="V9" s="235"/>
      <c r="W9" s="235"/>
      <c r="X9" s="239"/>
      <c r="Y9" s="235"/>
      <c r="Z9" s="235"/>
      <c r="AA9" s="235"/>
    </row>
    <row r="10" spans="1:27" s="221" customFormat="1" ht="27">
      <c r="A10" s="255">
        <v>0</v>
      </c>
      <c r="B10" s="230" t="s">
        <v>197</v>
      </c>
      <c r="C10" s="446"/>
      <c r="D10" s="447"/>
      <c r="E10" s="229" t="s">
        <v>429</v>
      </c>
      <c r="F10" s="255" t="s">
        <v>333</v>
      </c>
      <c r="G10" s="250" t="s">
        <v>355</v>
      </c>
      <c r="H10" s="250" t="s">
        <v>392</v>
      </c>
      <c r="I10" s="250" t="s">
        <v>411</v>
      </c>
      <c r="J10" s="250" t="s">
        <v>413</v>
      </c>
      <c r="K10" s="250" t="s">
        <v>437</v>
      </c>
      <c r="L10" s="262" t="str">
        <f>10*Class1_lvl&amp;" min. (D)"</f>
        <v>30 min. (D)</v>
      </c>
      <c r="M10" s="255" t="s">
        <v>427</v>
      </c>
      <c r="N10" s="255" t="s">
        <v>427</v>
      </c>
      <c r="O10" s="414" t="str">
        <f t="shared" si="0"/>
        <v>rul 6+dmg</v>
      </c>
      <c r="P10" s="414" t="str">
        <f t="shared" si="1"/>
        <v>rul 11</v>
      </c>
      <c r="Q10" s="257"/>
      <c r="R10" s="250" t="s">
        <v>417</v>
      </c>
      <c r="S10" s="257"/>
      <c r="T10" s="250"/>
      <c r="U10" s="229"/>
      <c r="V10" s="229"/>
      <c r="W10" s="229"/>
      <c r="X10" s="231"/>
      <c r="Y10" s="229"/>
      <c r="Z10" s="229"/>
      <c r="AA10" s="229"/>
    </row>
    <row r="11" spans="1:27" s="237" customFormat="1" ht="27">
      <c r="A11" s="254">
        <v>0</v>
      </c>
      <c r="B11" s="238" t="s">
        <v>365</v>
      </c>
      <c r="C11" s="272"/>
      <c r="D11" s="313"/>
      <c r="E11" s="235" t="s">
        <v>430</v>
      </c>
      <c r="F11" s="265" t="s">
        <v>336</v>
      </c>
      <c r="G11" s="249" t="s">
        <v>364</v>
      </c>
      <c r="H11" s="249" t="s">
        <v>395</v>
      </c>
      <c r="I11" s="249" t="s">
        <v>411</v>
      </c>
      <c r="J11" s="249" t="s">
        <v>431</v>
      </c>
      <c r="K11" s="249" t="s">
        <v>432</v>
      </c>
      <c r="L11" s="249" t="s">
        <v>423</v>
      </c>
      <c r="M11" s="261" t="str">
        <f>"(Will DC "&amp;10+A11+wismod&amp;" negate)"</f>
        <v>(Will DC 14 negate)</v>
      </c>
      <c r="N11" s="261" t="str">
        <f>"(d20 + "&amp;Class1_lvl&amp;")"</f>
        <v>(d20 + 3)</v>
      </c>
      <c r="O11" s="258" t="str">
        <f t="shared" si="0"/>
        <v>rul 6+dmg</v>
      </c>
      <c r="P11" s="258" t="str">
        <f t="shared" si="1"/>
        <v>rul 11</v>
      </c>
      <c r="Q11" s="249" t="s">
        <v>416</v>
      </c>
      <c r="R11" s="249" t="s">
        <v>417</v>
      </c>
      <c r="S11" s="256"/>
      <c r="T11" s="249"/>
      <c r="U11" s="235"/>
      <c r="V11" s="235"/>
      <c r="W11" s="235"/>
      <c r="X11" s="239"/>
      <c r="Y11" s="235"/>
      <c r="Z11" s="235"/>
      <c r="AA11" s="235"/>
    </row>
    <row r="12" spans="1:27" s="221" customFormat="1" ht="27">
      <c r="A12" s="255">
        <v>0</v>
      </c>
      <c r="B12" s="230" t="s">
        <v>1170</v>
      </c>
      <c r="C12" s="446"/>
      <c r="D12" s="447"/>
      <c r="E12" s="229" t="s">
        <v>58</v>
      </c>
      <c r="F12" s="263" t="s">
        <v>336</v>
      </c>
      <c r="G12" s="250" t="s">
        <v>364</v>
      </c>
      <c r="H12" s="250" t="s">
        <v>1179</v>
      </c>
      <c r="I12" s="250" t="s">
        <v>411</v>
      </c>
      <c r="J12" s="250" t="s">
        <v>431</v>
      </c>
      <c r="K12" s="262" t="str">
        <f>Class1_lvl&amp;" kub.fod"</f>
        <v>3 kub.fod</v>
      </c>
      <c r="L12" s="250" t="s">
        <v>423</v>
      </c>
      <c r="M12" s="262" t="str">
        <f>"(Will DC "&amp;10+A12+wismod&amp;" negate)"</f>
        <v>(Will DC 14 negate)</v>
      </c>
      <c r="N12" s="262" t="str">
        <f>"(d20 + "&amp;Class1_lvl&amp;")"</f>
        <v>(d20 + 3)</v>
      </c>
      <c r="O12" s="414" t="str">
        <f t="shared" si="0"/>
        <v>rul 6+dmg</v>
      </c>
      <c r="P12" s="414" t="str">
        <f t="shared" si="1"/>
        <v>rul 11</v>
      </c>
      <c r="Q12" s="250" t="s">
        <v>416</v>
      </c>
      <c r="R12" s="250" t="s">
        <v>417</v>
      </c>
      <c r="S12" s="257"/>
      <c r="T12" s="250"/>
      <c r="U12" s="229"/>
      <c r="V12" s="229"/>
      <c r="W12" s="229"/>
      <c r="X12" s="231"/>
      <c r="Y12" s="229"/>
      <c r="Z12" s="229"/>
      <c r="AA12" s="229"/>
    </row>
    <row r="13" spans="1:27" s="237" customFormat="1" ht="27">
      <c r="A13" s="254">
        <v>0</v>
      </c>
      <c r="B13" s="238" t="s">
        <v>353</v>
      </c>
      <c r="C13" s="272"/>
      <c r="D13" s="313"/>
      <c r="E13" s="235" t="s">
        <v>424</v>
      </c>
      <c r="F13" s="265" t="s">
        <v>336</v>
      </c>
      <c r="G13" s="249" t="s">
        <v>342</v>
      </c>
      <c r="H13" s="249" t="s">
        <v>390</v>
      </c>
      <c r="I13" s="249" t="s">
        <v>411</v>
      </c>
      <c r="J13" s="249" t="s">
        <v>425</v>
      </c>
      <c r="K13" s="249" t="s">
        <v>426</v>
      </c>
      <c r="L13" s="261" t="str">
        <f>10*Class1_lvl&amp;" min."</f>
        <v>30 min.</v>
      </c>
      <c r="M13" s="265" t="s">
        <v>336</v>
      </c>
      <c r="N13" s="265" t="s">
        <v>336</v>
      </c>
      <c r="O13" s="258" t="str">
        <f t="shared" si="0"/>
        <v>rul 6+dmg</v>
      </c>
      <c r="P13" s="258" t="str">
        <f t="shared" si="1"/>
        <v>rul 11</v>
      </c>
      <c r="Q13" s="254" t="s">
        <v>416</v>
      </c>
      <c r="R13" s="254" t="s">
        <v>417</v>
      </c>
      <c r="S13" s="254" t="s">
        <v>321</v>
      </c>
      <c r="T13" s="249"/>
      <c r="U13" s="235"/>
      <c r="V13" s="235"/>
      <c r="W13" s="235"/>
      <c r="X13" s="239"/>
      <c r="Y13" s="235"/>
      <c r="Z13" s="235"/>
      <c r="AA13" s="235"/>
    </row>
    <row r="14" spans="1:27" s="221" customFormat="1" ht="27">
      <c r="A14" s="255">
        <v>0</v>
      </c>
      <c r="B14" s="411" t="s">
        <v>350</v>
      </c>
      <c r="C14" s="448"/>
      <c r="D14" s="449"/>
      <c r="E14" s="412" t="s">
        <v>387</v>
      </c>
      <c r="F14" s="263" t="s">
        <v>336</v>
      </c>
      <c r="G14" s="250" t="s">
        <v>378</v>
      </c>
      <c r="H14" s="250" t="s">
        <v>388</v>
      </c>
      <c r="I14" s="250" t="s">
        <v>411</v>
      </c>
      <c r="J14" s="250" t="s">
        <v>413</v>
      </c>
      <c r="K14" s="250" t="s">
        <v>414</v>
      </c>
      <c r="L14" s="255" t="s">
        <v>415</v>
      </c>
      <c r="M14" s="262" t="str">
        <f>"(Will DC "&amp;10+A14+wismod&amp;" negate)"</f>
        <v>(Will DC 14 negate)</v>
      </c>
      <c r="N14" s="262" t="str">
        <f>"(d20 + "&amp;Class1_lvl&amp;")"</f>
        <v>(d20 + 3)</v>
      </c>
      <c r="O14" s="414" t="str">
        <f t="shared" si="0"/>
        <v>rul 6+dmg</v>
      </c>
      <c r="P14" s="414" t="str">
        <f t="shared" si="1"/>
        <v>rul 11</v>
      </c>
      <c r="Q14" s="255" t="s">
        <v>416</v>
      </c>
      <c r="R14" s="255" t="s">
        <v>417</v>
      </c>
      <c r="S14" s="255" t="s">
        <v>321</v>
      </c>
      <c r="T14" s="255"/>
      <c r="U14" s="413"/>
      <c r="V14" s="229"/>
      <c r="W14" s="229"/>
      <c r="X14" s="231"/>
      <c r="Y14" s="229"/>
      <c r="Z14" s="229"/>
      <c r="AA14" s="229"/>
    </row>
    <row r="15" spans="1:27" s="237" customFormat="1" ht="27">
      <c r="A15" s="254">
        <v>1</v>
      </c>
      <c r="B15" s="238" t="s">
        <v>652</v>
      </c>
      <c r="C15" s="272"/>
      <c r="D15" s="313"/>
      <c r="E15" s="235" t="s">
        <v>1184</v>
      </c>
      <c r="F15" s="254" t="s">
        <v>1181</v>
      </c>
      <c r="G15" s="249" t="s">
        <v>354</v>
      </c>
      <c r="H15" s="249" t="s">
        <v>1182</v>
      </c>
      <c r="I15" s="249" t="s">
        <v>411</v>
      </c>
      <c r="J15" s="249" t="s">
        <v>425</v>
      </c>
      <c r="K15" s="254" t="s">
        <v>1185</v>
      </c>
      <c r="L15" s="261" t="str">
        <f>Class1_lvl&amp;" min."</f>
        <v>3 min.</v>
      </c>
      <c r="M15" s="261" t="str">
        <f>"Will DC "&amp;10+A15+wismod&amp;" negate"</f>
        <v>Will DC 15 negate</v>
      </c>
      <c r="N15" s="261" t="str">
        <f>"d20 + "&amp;Class1_lvl</f>
        <v>d20 + 3</v>
      </c>
      <c r="O15" s="258" t="str">
        <f t="shared" si="0"/>
        <v>rul 7+dmg</v>
      </c>
      <c r="P15" s="258" t="str">
        <f t="shared" si="1"/>
        <v>rul 12</v>
      </c>
      <c r="Q15" s="249" t="s">
        <v>416</v>
      </c>
      <c r="R15" s="249" t="s">
        <v>417</v>
      </c>
      <c r="S15" s="249" t="s">
        <v>1183</v>
      </c>
      <c r="U15" s="235"/>
      <c r="V15" s="235"/>
      <c r="W15" s="235"/>
      <c r="X15" s="239"/>
      <c r="Y15" s="235"/>
      <c r="Z15" s="235"/>
      <c r="AA15" s="235"/>
    </row>
    <row r="16" spans="1:27" s="221" customFormat="1" ht="27">
      <c r="A16" s="255">
        <v>1</v>
      </c>
      <c r="B16" s="230" t="s">
        <v>655</v>
      </c>
      <c r="C16" s="446"/>
      <c r="D16" s="447"/>
      <c r="E16" s="229" t="s">
        <v>1189</v>
      </c>
      <c r="F16" s="255" t="s">
        <v>1188</v>
      </c>
      <c r="G16" s="250" t="s">
        <v>354</v>
      </c>
      <c r="H16" s="250" t="s">
        <v>1187</v>
      </c>
      <c r="I16" s="250" t="s">
        <v>411</v>
      </c>
      <c r="J16" s="250" t="s">
        <v>425</v>
      </c>
      <c r="K16" s="255" t="s">
        <v>1186</v>
      </c>
      <c r="L16" s="262" t="str">
        <f>Class1_lvl&amp;" min."</f>
        <v>3 min.</v>
      </c>
      <c r="M16" s="255" t="s">
        <v>427</v>
      </c>
      <c r="N16" s="262" t="str">
        <f>"(d20 + "&amp;Class1_lvl&amp;")"</f>
        <v>(d20 + 3)</v>
      </c>
      <c r="O16" s="414" t="str">
        <f t="shared" si="0"/>
        <v>rul 7+dmg</v>
      </c>
      <c r="P16" s="414" t="str">
        <f t="shared" si="1"/>
        <v>rul 12</v>
      </c>
      <c r="Q16" s="250" t="s">
        <v>416</v>
      </c>
      <c r="R16" s="250" t="s">
        <v>417</v>
      </c>
      <c r="S16" s="250" t="s">
        <v>1183</v>
      </c>
      <c r="U16" s="229"/>
      <c r="V16" s="229"/>
      <c r="W16" s="229"/>
      <c r="X16" s="231"/>
      <c r="Y16" s="229"/>
      <c r="Z16" s="229"/>
      <c r="AA16" s="229"/>
    </row>
    <row r="17" spans="1:27" s="237" customFormat="1" ht="27">
      <c r="A17" s="254">
        <v>1</v>
      </c>
      <c r="B17" s="238" t="s">
        <v>657</v>
      </c>
      <c r="C17" s="272"/>
      <c r="D17" s="313"/>
      <c r="E17" s="235" t="s">
        <v>1192</v>
      </c>
      <c r="F17" s="254" t="s">
        <v>1190</v>
      </c>
      <c r="G17" s="249" t="s">
        <v>364</v>
      </c>
      <c r="H17" s="249" t="s">
        <v>1187</v>
      </c>
      <c r="I17" s="249" t="s">
        <v>415</v>
      </c>
      <c r="J17" s="249" t="s">
        <v>413</v>
      </c>
      <c r="K17" s="249" t="s">
        <v>1191</v>
      </c>
      <c r="L17" s="249" t="s">
        <v>423</v>
      </c>
      <c r="M17" s="261" t="str">
        <f>"Will DC "&amp;10+A17+wismod&amp;" negate"</f>
        <v>Will DC 15 negate</v>
      </c>
      <c r="N17" s="261" t="str">
        <f>"d20 + "&amp;Class1_lvl</f>
        <v>d20 + 3</v>
      </c>
      <c r="O17" s="258" t="str">
        <f t="shared" si="0"/>
        <v>rul 7+dmg</v>
      </c>
      <c r="P17" s="258" t="str">
        <f t="shared" si="1"/>
        <v>rul 12</v>
      </c>
      <c r="Q17" s="249" t="s">
        <v>416</v>
      </c>
      <c r="R17" s="249" t="s">
        <v>417</v>
      </c>
      <c r="S17" s="254" t="s">
        <v>321</v>
      </c>
      <c r="T17" s="249"/>
      <c r="U17" s="235"/>
      <c r="V17" s="235"/>
      <c r="W17" s="235"/>
      <c r="X17" s="239"/>
      <c r="Y17" s="235"/>
      <c r="Z17" s="235"/>
      <c r="AA17" s="235"/>
    </row>
    <row r="18" spans="1:27" s="221" customFormat="1" ht="24">
      <c r="A18" s="255">
        <v>1</v>
      </c>
      <c r="B18" s="230" t="s">
        <v>372</v>
      </c>
      <c r="C18" s="446"/>
      <c r="D18" s="447"/>
      <c r="E18" s="229" t="s">
        <v>456</v>
      </c>
      <c r="F18" s="255" t="s">
        <v>1181</v>
      </c>
      <c r="G18" s="250" t="s">
        <v>357</v>
      </c>
      <c r="H18" s="250" t="s">
        <v>405</v>
      </c>
      <c r="I18" s="250" t="s">
        <v>411</v>
      </c>
      <c r="J18" s="262" t="str">
        <f>25+5*(Class1_lvl/2)&amp;" f."</f>
        <v>32,5 f.</v>
      </c>
      <c r="K18" s="250" t="s">
        <v>453</v>
      </c>
      <c r="L18" s="250" t="s">
        <v>455</v>
      </c>
      <c r="M18" s="262" t="str">
        <f>"Will DC "&amp;10+A18+wismod&amp;" partial"</f>
        <v>Will DC 15 partial</v>
      </c>
      <c r="N18" s="262" t="str">
        <f>"d20 + "&amp;Class1_lvl</f>
        <v>d20 + 3</v>
      </c>
      <c r="O18" s="414" t="str">
        <f t="shared" si="0"/>
        <v>rul 7+dmg</v>
      </c>
      <c r="P18" s="414" t="str">
        <f t="shared" si="1"/>
        <v>rul 12</v>
      </c>
      <c r="Q18" s="250" t="s">
        <v>416</v>
      </c>
      <c r="R18" s="250" t="s">
        <v>417</v>
      </c>
      <c r="S18" s="257"/>
      <c r="T18" s="250"/>
      <c r="U18" s="229" t="s">
        <v>502</v>
      </c>
      <c r="V18" s="229"/>
      <c r="W18" s="229"/>
      <c r="X18" s="231"/>
      <c r="Y18" s="229"/>
      <c r="Z18" s="229"/>
      <c r="AA18" s="229"/>
    </row>
    <row r="19" spans="1:27" s="237" customFormat="1" ht="15">
      <c r="A19" s="254">
        <v>1</v>
      </c>
      <c r="B19" s="238" t="s">
        <v>661</v>
      </c>
      <c r="C19" s="272"/>
      <c r="D19" s="313"/>
      <c r="E19" s="235" t="s">
        <v>1197</v>
      </c>
      <c r="F19" s="254" t="s">
        <v>1193</v>
      </c>
      <c r="G19" s="249" t="s">
        <v>354</v>
      </c>
      <c r="H19" s="249" t="s">
        <v>1194</v>
      </c>
      <c r="I19" s="249" t="s">
        <v>411</v>
      </c>
      <c r="J19" s="261" t="str">
        <f>25+5*(Class1_lvl/2)&amp;" f."</f>
        <v>32,5 f.</v>
      </c>
      <c r="K19" s="249" t="s">
        <v>1195</v>
      </c>
      <c r="L19" s="249" t="s">
        <v>1196</v>
      </c>
      <c r="M19" s="261" t="str">
        <f>"Will DC "&amp;10+A19+wismod&amp;" negate"</f>
        <v>Will DC 15 negate</v>
      </c>
      <c r="N19" s="261" t="str">
        <f>"d20 + "&amp;Class1_lvl</f>
        <v>d20 + 3</v>
      </c>
      <c r="O19" s="258" t="str">
        <f t="shared" si="0"/>
        <v>rul 7+dmg</v>
      </c>
      <c r="P19" s="258" t="str">
        <f t="shared" si="1"/>
        <v>rul 12</v>
      </c>
      <c r="Q19" s="249" t="s">
        <v>1178</v>
      </c>
      <c r="R19" s="256"/>
      <c r="S19" s="256"/>
      <c r="T19" s="249"/>
      <c r="U19" s="235"/>
      <c r="V19" s="235"/>
      <c r="W19" s="235"/>
      <c r="X19" s="239"/>
      <c r="Y19" s="235"/>
      <c r="Z19" s="235"/>
      <c r="AA19" s="235"/>
    </row>
    <row r="20" spans="1:27" s="221" customFormat="1" ht="15">
      <c r="A20" s="255">
        <v>1</v>
      </c>
      <c r="B20" s="230" t="s">
        <v>1214</v>
      </c>
      <c r="C20" s="446"/>
      <c r="D20" s="447"/>
      <c r="E20" s="229" t="s">
        <v>1199</v>
      </c>
      <c r="F20" s="263" t="s">
        <v>336</v>
      </c>
      <c r="G20" s="250" t="s">
        <v>342</v>
      </c>
      <c r="H20" s="250" t="s">
        <v>1198</v>
      </c>
      <c r="I20" s="250" t="s">
        <v>411</v>
      </c>
      <c r="J20" s="250" t="s">
        <v>425</v>
      </c>
      <c r="K20" s="250" t="s">
        <v>426</v>
      </c>
      <c r="L20" s="262" t="str">
        <f>10*Class1_lvl&amp;" min."</f>
        <v>30 min.</v>
      </c>
      <c r="M20" s="263" t="s">
        <v>336</v>
      </c>
      <c r="N20" s="263" t="s">
        <v>336</v>
      </c>
      <c r="O20" s="414" t="str">
        <f t="shared" si="0"/>
        <v>rul 7+dmg</v>
      </c>
      <c r="P20" s="414" t="str">
        <f t="shared" si="1"/>
        <v>rul 12</v>
      </c>
      <c r="Q20" s="250" t="s">
        <v>416</v>
      </c>
      <c r="R20" s="250" t="s">
        <v>417</v>
      </c>
      <c r="S20" s="250" t="s">
        <v>1183</v>
      </c>
      <c r="U20" s="229"/>
      <c r="V20" s="229"/>
      <c r="W20" s="229"/>
      <c r="X20" s="231"/>
      <c r="Y20" s="229"/>
      <c r="Z20" s="229"/>
      <c r="AA20" s="229"/>
    </row>
    <row r="21" spans="1:27" s="237" customFormat="1" ht="15">
      <c r="A21" s="254">
        <v>1</v>
      </c>
      <c r="B21" s="238" t="s">
        <v>668</v>
      </c>
      <c r="C21" s="272"/>
      <c r="D21" s="313"/>
      <c r="E21" s="240" t="str">
        <f>"Helbreder 1d8+"&amp;IF(Class1_lvl&gt;5,5,Class1_lvl)&amp;" HP. Skader undead."</f>
        <v>Helbreder 1d8+3 HP. Skader undead.</v>
      </c>
      <c r="F21" s="265" t="s">
        <v>336</v>
      </c>
      <c r="G21" s="249" t="s">
        <v>1173</v>
      </c>
      <c r="H21" s="249" t="s">
        <v>1171</v>
      </c>
      <c r="I21" s="249" t="s">
        <v>411</v>
      </c>
      <c r="J21" s="249" t="s">
        <v>413</v>
      </c>
      <c r="K21" s="249" t="s">
        <v>414</v>
      </c>
      <c r="L21" s="249" t="s">
        <v>423</v>
      </c>
      <c r="M21" s="261" t="str">
        <f>"(Will DC "&amp;10+A21+wismod&amp;" half)"</f>
        <v>(Will DC 15 half)</v>
      </c>
      <c r="N21" s="261" t="str">
        <f>"(d20 + "&amp;Class1_lvl&amp;")"</f>
        <v>(d20 + 3)</v>
      </c>
      <c r="O21" s="258" t="str">
        <f t="shared" si="0"/>
        <v>rul 7+dmg</v>
      </c>
      <c r="P21" s="258" t="str">
        <f t="shared" si="1"/>
        <v>rul 12</v>
      </c>
      <c r="Q21" s="249" t="s">
        <v>416</v>
      </c>
      <c r="R21" s="249" t="s">
        <v>417</v>
      </c>
      <c r="S21" s="256"/>
      <c r="T21" s="249"/>
      <c r="U21" s="235"/>
      <c r="V21" s="235"/>
      <c r="W21" s="235"/>
      <c r="X21" s="239"/>
      <c r="Y21" s="235"/>
      <c r="Z21" s="235"/>
      <c r="AA21" s="235"/>
    </row>
    <row r="22" spans="1:27" s="221" customFormat="1" ht="24">
      <c r="A22" s="255">
        <v>1</v>
      </c>
      <c r="B22" s="230" t="s">
        <v>142</v>
      </c>
      <c r="C22" s="446"/>
      <c r="D22" s="447"/>
      <c r="E22" s="229" t="s">
        <v>1203</v>
      </c>
      <c r="F22" s="263" t="s">
        <v>336</v>
      </c>
      <c r="G22" s="250" t="s">
        <v>342</v>
      </c>
      <c r="H22" s="250" t="s">
        <v>1200</v>
      </c>
      <c r="I22" s="250" t="s">
        <v>411</v>
      </c>
      <c r="J22" s="250" t="s">
        <v>419</v>
      </c>
      <c r="K22" s="250" t="s">
        <v>1201</v>
      </c>
      <c r="L22" s="262" t="str">
        <f>10*Class1_lvl&amp;" min. (D)"</f>
        <v>30 min. (D)</v>
      </c>
      <c r="M22" s="255" t="s">
        <v>427</v>
      </c>
      <c r="N22" s="255" t="s">
        <v>427</v>
      </c>
      <c r="O22" s="414" t="str">
        <f t="shared" si="0"/>
        <v>rul 7+dmg</v>
      </c>
      <c r="P22" s="414" t="str">
        <f t="shared" si="1"/>
        <v>rul 12</v>
      </c>
      <c r="Q22" s="250" t="s">
        <v>416</v>
      </c>
      <c r="R22" s="250" t="s">
        <v>417</v>
      </c>
      <c r="S22" s="250" t="s">
        <v>1183</v>
      </c>
      <c r="U22" s="229"/>
      <c r="V22" s="229"/>
      <c r="W22" s="229"/>
      <c r="X22" s="231"/>
      <c r="Y22" s="229"/>
      <c r="Z22" s="229"/>
      <c r="AA22" s="229"/>
    </row>
    <row r="23" spans="1:27" s="237" customFormat="1" ht="24">
      <c r="A23" s="254">
        <v>1</v>
      </c>
      <c r="B23" s="238" t="s">
        <v>674</v>
      </c>
      <c r="C23" s="272"/>
      <c r="D23" s="313"/>
      <c r="E23" s="235" t="s">
        <v>1202</v>
      </c>
      <c r="F23" s="265" t="s">
        <v>336</v>
      </c>
      <c r="G23" s="249" t="s">
        <v>342</v>
      </c>
      <c r="H23" s="249" t="s">
        <v>407</v>
      </c>
      <c r="I23" s="249" t="s">
        <v>411</v>
      </c>
      <c r="J23" s="249" t="s">
        <v>419</v>
      </c>
      <c r="K23" s="249" t="s">
        <v>1204</v>
      </c>
      <c r="L23" s="261" t="str">
        <f>Class1_lvl&amp;" min. (D)"</f>
        <v>3 min. (D)</v>
      </c>
      <c r="M23" s="254" t="s">
        <v>427</v>
      </c>
      <c r="N23" s="254" t="s">
        <v>427</v>
      </c>
      <c r="O23" s="258" t="str">
        <f t="shared" si="0"/>
        <v>rul 7+dmg</v>
      </c>
      <c r="P23" s="258" t="str">
        <f t="shared" si="1"/>
        <v>rul 12</v>
      </c>
      <c r="Q23" s="249" t="s">
        <v>416</v>
      </c>
      <c r="R23" s="249" t="s">
        <v>417</v>
      </c>
      <c r="S23" s="249" t="s">
        <v>1183</v>
      </c>
      <c r="U23" s="235"/>
      <c r="V23" s="235"/>
      <c r="W23" s="235"/>
      <c r="X23" s="239"/>
      <c r="Y23" s="235"/>
      <c r="Z23" s="235"/>
      <c r="AA23" s="235"/>
    </row>
    <row r="24" spans="1:27" s="221" customFormat="1" ht="15">
      <c r="A24" s="255">
        <v>1</v>
      </c>
      <c r="B24" s="230" t="s">
        <v>675</v>
      </c>
      <c r="C24" s="446"/>
      <c r="D24" s="447"/>
      <c r="E24" s="232" t="str">
        <f>"+"&amp;IF(Class1_lvl&lt;3,1,IF(Class1_lvl&lt;9,2,3))&amp;" held bonus til attack og skade. Ikke spells."</f>
        <v>+2 held bonus til attack og skade. Ikke spells.</v>
      </c>
      <c r="F24" s="263" t="s">
        <v>336</v>
      </c>
      <c r="G24" s="250" t="s">
        <v>355</v>
      </c>
      <c r="H24" s="250" t="s">
        <v>1205</v>
      </c>
      <c r="I24" s="250" t="s">
        <v>411</v>
      </c>
      <c r="J24" s="250" t="s">
        <v>425</v>
      </c>
      <c r="K24" s="250" t="s">
        <v>426</v>
      </c>
      <c r="L24" s="255" t="s">
        <v>415</v>
      </c>
      <c r="M24" s="263" t="s">
        <v>336</v>
      </c>
      <c r="N24" s="263" t="s">
        <v>336</v>
      </c>
      <c r="O24" s="414" t="str">
        <f t="shared" si="0"/>
        <v>rul 7+dmg</v>
      </c>
      <c r="P24" s="414" t="str">
        <f t="shared" si="1"/>
        <v>rul 12</v>
      </c>
      <c r="Q24" s="250" t="s">
        <v>416</v>
      </c>
      <c r="R24" s="250" t="s">
        <v>417</v>
      </c>
      <c r="S24" s="250" t="s">
        <v>1183</v>
      </c>
      <c r="U24" s="229"/>
      <c r="V24" s="229"/>
      <c r="W24" s="229"/>
      <c r="X24" s="231"/>
      <c r="Y24" s="229"/>
      <c r="Z24" s="229"/>
      <c r="AA24" s="229"/>
    </row>
    <row r="25" spans="1:27" s="237" customFormat="1" ht="15">
      <c r="A25" s="254">
        <v>1</v>
      </c>
      <c r="B25" s="238" t="s">
        <v>677</v>
      </c>
      <c r="C25" s="272"/>
      <c r="D25" s="313"/>
      <c r="E25" s="235" t="s">
        <v>1207</v>
      </c>
      <c r="F25" s="254" t="s">
        <v>1181</v>
      </c>
      <c r="G25" s="249" t="s">
        <v>357</v>
      </c>
      <c r="H25" s="249" t="s">
        <v>1206</v>
      </c>
      <c r="I25" s="249" t="s">
        <v>411</v>
      </c>
      <c r="J25" s="261" t="str">
        <f>100+10*Class1_lvl&amp;" f."</f>
        <v>130 f.</v>
      </c>
      <c r="K25" s="249" t="s">
        <v>1195</v>
      </c>
      <c r="L25" s="261" t="str">
        <f>Class1_lvl&amp;" min."</f>
        <v>3 min.</v>
      </c>
      <c r="M25" s="261" t="str">
        <f>"Will DC "&amp;10+A25+wismod&amp;" negate"</f>
        <v>Will DC 15 negate</v>
      </c>
      <c r="N25" s="261" t="str">
        <f>"d20 + "&amp;Class1_lvl</f>
        <v>d20 + 3</v>
      </c>
      <c r="O25" s="258" t="str">
        <f t="shared" si="0"/>
        <v>rul 7+dmg</v>
      </c>
      <c r="P25" s="258" t="str">
        <f t="shared" si="1"/>
        <v>rul 12</v>
      </c>
      <c r="Q25" s="249" t="s">
        <v>416</v>
      </c>
      <c r="R25" s="249" t="s">
        <v>417</v>
      </c>
      <c r="S25" s="249" t="s">
        <v>1183</v>
      </c>
      <c r="U25" s="235"/>
      <c r="V25" s="235"/>
      <c r="W25" s="235"/>
      <c r="X25" s="239"/>
      <c r="Y25" s="235"/>
      <c r="Z25" s="235"/>
      <c r="AA25" s="235"/>
    </row>
    <row r="26" spans="1:27" s="221" customFormat="1" ht="24">
      <c r="A26" s="442">
        <v>1</v>
      </c>
      <c r="B26" s="417" t="s">
        <v>640</v>
      </c>
      <c r="C26" s="446"/>
      <c r="D26" s="447"/>
      <c r="E26" s="229" t="s">
        <v>1209</v>
      </c>
      <c r="F26" s="263" t="s">
        <v>336</v>
      </c>
      <c r="G26" s="250" t="s">
        <v>378</v>
      </c>
      <c r="H26" s="250" t="s">
        <v>1211</v>
      </c>
      <c r="I26" s="250" t="s">
        <v>411</v>
      </c>
      <c r="J26" s="250" t="s">
        <v>413</v>
      </c>
      <c r="K26" s="250" t="s">
        <v>414</v>
      </c>
      <c r="L26" s="250" t="s">
        <v>1208</v>
      </c>
      <c r="M26" s="262" t="str">
        <f>"(Will DC "&amp;10+A26+wismod&amp;" negate)"</f>
        <v>(Will DC 15 negate)</v>
      </c>
      <c r="N26" s="262" t="str">
        <f>"(d20 + "&amp;Class1_lvl&amp;")"</f>
        <v>(d20 + 3)</v>
      </c>
      <c r="O26" s="414" t="str">
        <f t="shared" si="0"/>
        <v>rul 7+dmg</v>
      </c>
      <c r="P26" s="414" t="str">
        <f t="shared" si="1"/>
        <v>rul 12</v>
      </c>
      <c r="Q26" s="250" t="s">
        <v>416</v>
      </c>
      <c r="R26" s="250" t="s">
        <v>417</v>
      </c>
      <c r="S26" s="257"/>
      <c r="T26" s="250"/>
      <c r="U26" s="229"/>
      <c r="V26" s="229"/>
      <c r="W26" s="229"/>
      <c r="X26" s="231"/>
      <c r="Y26" s="229"/>
      <c r="Z26" s="229"/>
      <c r="AA26" s="229"/>
    </row>
    <row r="27" spans="1:27" s="237" customFormat="1" ht="24">
      <c r="A27" s="450">
        <v>1</v>
      </c>
      <c r="B27" s="451" t="s">
        <v>641</v>
      </c>
      <c r="C27" s="272"/>
      <c r="D27" s="313"/>
      <c r="E27" s="235" t="s">
        <v>1212</v>
      </c>
      <c r="F27" s="265" t="s">
        <v>336</v>
      </c>
      <c r="G27" s="249" t="s">
        <v>378</v>
      </c>
      <c r="H27" s="249" t="s">
        <v>1210</v>
      </c>
      <c r="I27" s="249" t="s">
        <v>411</v>
      </c>
      <c r="J27" s="249" t="s">
        <v>425</v>
      </c>
      <c r="K27" s="249" t="s">
        <v>426</v>
      </c>
      <c r="L27" s="261" t="str">
        <f>Class1_lvl&amp;" min. (D)"</f>
        <v>3 min. (D)</v>
      </c>
      <c r="M27" s="265" t="s">
        <v>336</v>
      </c>
      <c r="N27" s="265" t="s">
        <v>336</v>
      </c>
      <c r="O27" s="258" t="str">
        <f t="shared" si="0"/>
        <v>rul 7+dmg</v>
      </c>
      <c r="P27" s="258" t="str">
        <f t="shared" si="1"/>
        <v>rul 12</v>
      </c>
      <c r="Q27" s="249" t="s">
        <v>416</v>
      </c>
      <c r="R27" s="249" t="s">
        <v>417</v>
      </c>
      <c r="S27" s="256"/>
      <c r="T27" s="249"/>
      <c r="U27" s="235"/>
      <c r="V27" s="235"/>
      <c r="W27" s="235"/>
      <c r="X27" s="239"/>
      <c r="Y27" s="235"/>
      <c r="Z27" s="235"/>
      <c r="AA27" s="235"/>
    </row>
    <row r="28" spans="1:27" s="221" customFormat="1" ht="36">
      <c r="A28" s="255">
        <v>1</v>
      </c>
      <c r="B28" s="230" t="s">
        <v>680</v>
      </c>
      <c r="C28" s="446"/>
      <c r="D28" s="447"/>
      <c r="E28" s="229" t="s">
        <v>130</v>
      </c>
      <c r="F28" s="263" t="s">
        <v>336</v>
      </c>
      <c r="G28" s="250" t="s">
        <v>378</v>
      </c>
      <c r="H28" s="250" t="s">
        <v>1213</v>
      </c>
      <c r="I28" s="250" t="s">
        <v>411</v>
      </c>
      <c r="J28" s="250" t="s">
        <v>413</v>
      </c>
      <c r="K28" s="262" t="str">
        <f>Class1_lvl&amp;" creat."</f>
        <v>3 creat.</v>
      </c>
      <c r="L28" s="262" t="str">
        <f>10*Class1_lvl&amp;" min. (D)"</f>
        <v>30 min. (D)</v>
      </c>
      <c r="M28" s="262" t="str">
        <f>"(Will DC "&amp;10+A28+wismod&amp;" negate)"</f>
        <v>(Will DC 15 negate)</v>
      </c>
      <c r="N28" s="262" t="str">
        <f>"d20 + "&amp;Class1_lvl</f>
        <v>d20 + 3</v>
      </c>
      <c r="O28" s="414" t="str">
        <f t="shared" si="0"/>
        <v>rul 7+dmg</v>
      </c>
      <c r="P28" s="414" t="str">
        <f t="shared" si="1"/>
        <v>rul 12</v>
      </c>
      <c r="Q28" s="250" t="s">
        <v>416</v>
      </c>
      <c r="R28" s="250" t="s">
        <v>417</v>
      </c>
      <c r="S28" s="250" t="s">
        <v>1183</v>
      </c>
      <c r="U28" s="229"/>
      <c r="V28" s="229"/>
      <c r="W28" s="229"/>
      <c r="X28" s="231"/>
      <c r="Y28" s="229"/>
      <c r="Z28" s="229"/>
      <c r="AA28" s="229"/>
    </row>
    <row r="29" spans="1:27" s="237" customFormat="1" ht="24">
      <c r="A29" s="254">
        <v>1</v>
      </c>
      <c r="B29" s="238" t="s">
        <v>683</v>
      </c>
      <c r="C29" s="272"/>
      <c r="D29" s="313"/>
      <c r="E29" s="235" t="s">
        <v>133</v>
      </c>
      <c r="F29" s="265" t="s">
        <v>336</v>
      </c>
      <c r="G29" s="249" t="s">
        <v>364</v>
      </c>
      <c r="H29" s="249" t="s">
        <v>403</v>
      </c>
      <c r="I29" s="249" t="s">
        <v>411</v>
      </c>
      <c r="J29" s="249" t="s">
        <v>413</v>
      </c>
      <c r="K29" s="249" t="s">
        <v>131</v>
      </c>
      <c r="L29" s="249" t="s">
        <v>132</v>
      </c>
      <c r="M29" s="261" t="str">
        <f>"(Will DC "&amp;10+A29+wismod&amp;" negate)"</f>
        <v>(Will DC 15 negate)</v>
      </c>
      <c r="N29" s="261" t="str">
        <f>"(d20 + "&amp;Class1_lvl&amp;")"</f>
        <v>(d20 + 3)</v>
      </c>
      <c r="O29" s="258" t="str">
        <f t="shared" si="0"/>
        <v>rul 7+dmg</v>
      </c>
      <c r="P29" s="258" t="str">
        <f t="shared" si="1"/>
        <v>rul 12</v>
      </c>
      <c r="Q29" s="249" t="s">
        <v>416</v>
      </c>
      <c r="R29" s="249" t="s">
        <v>417</v>
      </c>
      <c r="S29" s="249" t="s">
        <v>1183</v>
      </c>
      <c r="U29" s="235"/>
      <c r="V29" s="235"/>
      <c r="W29" s="235"/>
      <c r="X29" s="239"/>
      <c r="Y29" s="235"/>
      <c r="Z29" s="235"/>
      <c r="AA29" s="235"/>
    </row>
    <row r="30" spans="1:27" s="221" customFormat="1" ht="15">
      <c r="A30" s="255">
        <v>1</v>
      </c>
      <c r="B30" s="230" t="s">
        <v>684</v>
      </c>
      <c r="C30" s="446"/>
      <c r="D30" s="447"/>
      <c r="E30" s="412" t="s">
        <v>135</v>
      </c>
      <c r="F30" s="263" t="s">
        <v>336</v>
      </c>
      <c r="G30" s="250" t="s">
        <v>364</v>
      </c>
      <c r="H30" s="250" t="s">
        <v>403</v>
      </c>
      <c r="I30" s="250" t="s">
        <v>411</v>
      </c>
      <c r="J30" s="250" t="s">
        <v>413</v>
      </c>
      <c r="K30" s="250" t="s">
        <v>134</v>
      </c>
      <c r="L30" s="262" t="str">
        <f>Class1_lvl&amp;" min."</f>
        <v>3 min.</v>
      </c>
      <c r="M30" s="262" t="str">
        <f>"(Will DC "&amp;10+A30+wismod&amp;" negate)"</f>
        <v>(Will DC 15 negate)</v>
      </c>
      <c r="N30" s="262" t="str">
        <f>"(d20 + "&amp;Class1_lvl&amp;")"</f>
        <v>(d20 + 3)</v>
      </c>
      <c r="O30" s="414" t="str">
        <f t="shared" si="0"/>
        <v>rul 7+dmg</v>
      </c>
      <c r="P30" s="414" t="str">
        <f t="shared" si="1"/>
        <v>rul 12</v>
      </c>
      <c r="Q30" s="250" t="s">
        <v>416</v>
      </c>
      <c r="R30" s="250" t="s">
        <v>417</v>
      </c>
      <c r="S30" s="250" t="s">
        <v>1183</v>
      </c>
      <c r="U30" s="229"/>
      <c r="V30" s="229"/>
      <c r="W30" s="229"/>
      <c r="X30" s="231"/>
      <c r="Y30" s="229"/>
      <c r="Z30" s="229"/>
      <c r="AA30" s="229"/>
    </row>
    <row r="31" spans="1:27" s="237" customFormat="1" ht="15">
      <c r="A31" s="254">
        <v>1</v>
      </c>
      <c r="B31" s="238" t="s">
        <v>685</v>
      </c>
      <c r="C31" s="272"/>
      <c r="D31" s="313"/>
      <c r="E31" s="235" t="s">
        <v>137</v>
      </c>
      <c r="F31" s="265" t="s">
        <v>336</v>
      </c>
      <c r="G31" s="249" t="s">
        <v>1173</v>
      </c>
      <c r="H31" s="249" t="s">
        <v>396</v>
      </c>
      <c r="I31" s="249" t="s">
        <v>411</v>
      </c>
      <c r="J31" s="249" t="s">
        <v>425</v>
      </c>
      <c r="K31" s="249" t="s">
        <v>136</v>
      </c>
      <c r="L31" s="261" t="str">
        <f>Class1_lvl&amp;" min."</f>
        <v>3 min.</v>
      </c>
      <c r="M31" s="254" t="s">
        <v>427</v>
      </c>
      <c r="N31" s="254" t="s">
        <v>427</v>
      </c>
      <c r="O31" s="258" t="str">
        <f t="shared" si="0"/>
        <v>rul 7+dmg</v>
      </c>
      <c r="P31" s="258" t="str">
        <f t="shared" si="1"/>
        <v>rul 12</v>
      </c>
      <c r="Q31" s="249" t="s">
        <v>416</v>
      </c>
      <c r="R31" s="249" t="s">
        <v>417</v>
      </c>
      <c r="S31" s="256"/>
      <c r="T31" s="249"/>
      <c r="U31" s="235"/>
      <c r="V31" s="235"/>
      <c r="W31" s="235"/>
      <c r="X31" s="239"/>
      <c r="Y31" s="235"/>
      <c r="Z31" s="235"/>
      <c r="AA31" s="235"/>
    </row>
    <row r="32" spans="1:27" s="221" customFormat="1" ht="26.25" customHeight="1">
      <c r="A32" s="255">
        <v>1</v>
      </c>
      <c r="B32" s="230" t="s">
        <v>141</v>
      </c>
      <c r="C32" s="446"/>
      <c r="D32" s="447"/>
      <c r="E32" s="412" t="s">
        <v>143</v>
      </c>
      <c r="F32" s="255" t="s">
        <v>138</v>
      </c>
      <c r="G32" s="250" t="s">
        <v>378</v>
      </c>
      <c r="H32" s="250" t="s">
        <v>139</v>
      </c>
      <c r="I32" s="250" t="s">
        <v>411</v>
      </c>
      <c r="J32" s="250" t="s">
        <v>413</v>
      </c>
      <c r="K32" s="250" t="s">
        <v>414</v>
      </c>
      <c r="L32" s="262" t="str">
        <f>Class1_lvl&amp;" min. (D)"</f>
        <v>3 min. (D)</v>
      </c>
      <c r="M32" s="262" t="str">
        <f>"(Will DC "&amp;10+A32+wismod&amp;" negate)"</f>
        <v>(Will DC 15 negate)</v>
      </c>
      <c r="N32" s="255" t="s">
        <v>140</v>
      </c>
      <c r="O32" s="414" t="str">
        <f t="shared" si="0"/>
        <v>rul 7+dmg</v>
      </c>
      <c r="P32" s="414" t="str">
        <f t="shared" si="1"/>
        <v>rul 12</v>
      </c>
      <c r="Q32" s="250" t="s">
        <v>416</v>
      </c>
      <c r="R32" s="250" t="s">
        <v>417</v>
      </c>
      <c r="S32" s="250" t="s">
        <v>1183</v>
      </c>
      <c r="U32" s="229"/>
      <c r="V32" s="229"/>
      <c r="W32" s="229"/>
      <c r="X32" s="231"/>
      <c r="Y32" s="229"/>
      <c r="Z32" s="229"/>
      <c r="AA32" s="229"/>
    </row>
    <row r="33" spans="1:27" s="237" customFormat="1" ht="15">
      <c r="A33" s="254">
        <v>1</v>
      </c>
      <c r="B33" s="238" t="s">
        <v>689</v>
      </c>
      <c r="C33" s="272"/>
      <c r="D33" s="313"/>
      <c r="E33" s="234" t="s">
        <v>145</v>
      </c>
      <c r="F33" s="265" t="s">
        <v>336</v>
      </c>
      <c r="G33" s="249" t="s">
        <v>378</v>
      </c>
      <c r="H33" s="249" t="s">
        <v>144</v>
      </c>
      <c r="I33" s="249" t="s">
        <v>411</v>
      </c>
      <c r="J33" s="261" t="str">
        <f>25+5*(Class1_lvl/2)&amp;" f."</f>
        <v>32,5 f.</v>
      </c>
      <c r="K33" s="261" t="str">
        <f>IF(Class1_lvl&lt;4,"1 creat.",1+FLOOR(Class1_lvl/4,1)&amp;" creat. &lt; 30 f. fra hinanden")</f>
        <v>1 creat.</v>
      </c>
      <c r="L33" s="254" t="s">
        <v>491</v>
      </c>
      <c r="M33" s="261" t="str">
        <f>"(Will DC "&amp;10+A33+wismod&amp;" negate)"</f>
        <v>(Will DC 15 negate)</v>
      </c>
      <c r="N33" s="261" t="str">
        <f>"(d20 + "&amp;Class1_lvl&amp;")"</f>
        <v>(d20 + 3)</v>
      </c>
      <c r="O33" s="258" t="str">
        <f t="shared" si="0"/>
        <v>rul 7+dmg</v>
      </c>
      <c r="P33" s="258" t="str">
        <f t="shared" si="1"/>
        <v>rul 12</v>
      </c>
      <c r="Q33" s="249" t="s">
        <v>416</v>
      </c>
      <c r="R33" s="249" t="s">
        <v>417</v>
      </c>
      <c r="S33" s="256"/>
      <c r="T33" s="249"/>
      <c r="U33" s="235"/>
      <c r="V33" s="235"/>
      <c r="W33" s="235"/>
      <c r="X33" s="239"/>
      <c r="Y33" s="235"/>
      <c r="Z33" s="235"/>
      <c r="AA33" s="235"/>
    </row>
    <row r="34" spans="1:27" s="221" customFormat="1" ht="15">
      <c r="A34" s="255">
        <v>1</v>
      </c>
      <c r="B34" s="230" t="s">
        <v>690</v>
      </c>
      <c r="C34" s="446"/>
      <c r="D34" s="447"/>
      <c r="E34" s="229" t="s">
        <v>147</v>
      </c>
      <c r="F34" s="263" t="s">
        <v>336</v>
      </c>
      <c r="G34" s="250" t="s">
        <v>378</v>
      </c>
      <c r="H34" s="250" t="s">
        <v>146</v>
      </c>
      <c r="I34" s="250" t="s">
        <v>411</v>
      </c>
      <c r="J34" s="250" t="s">
        <v>413</v>
      </c>
      <c r="K34" s="250" t="s">
        <v>414</v>
      </c>
      <c r="L34" s="262" t="str">
        <f>Class1_lvl&amp;" rnd."</f>
        <v>3 rnd.</v>
      </c>
      <c r="M34" s="262" t="str">
        <f>"Will DC "&amp;10+A34+wismod&amp;" negate"</f>
        <v>Will DC 15 negate</v>
      </c>
      <c r="N34" s="255" t="s">
        <v>427</v>
      </c>
      <c r="O34" s="414" t="str">
        <f t="shared" si="0"/>
        <v>rul 7+dmg</v>
      </c>
      <c r="P34" s="414" t="str">
        <f t="shared" si="1"/>
        <v>rul 12</v>
      </c>
      <c r="Q34" s="250" t="s">
        <v>416</v>
      </c>
      <c r="R34" s="250" t="s">
        <v>417</v>
      </c>
      <c r="S34" s="250" t="s">
        <v>1183</v>
      </c>
      <c r="U34" s="229"/>
      <c r="V34" s="229"/>
      <c r="W34" s="229"/>
      <c r="X34" s="231"/>
      <c r="Y34" s="229"/>
      <c r="Z34" s="229"/>
      <c r="AA34" s="229"/>
    </row>
    <row r="35" spans="1:27" s="237" customFormat="1" ht="15">
      <c r="A35" s="254">
        <v>1</v>
      </c>
      <c r="B35" s="238" t="s">
        <v>691</v>
      </c>
      <c r="C35" s="272"/>
      <c r="D35" s="313"/>
      <c r="F35" s="265" t="s">
        <v>336</v>
      </c>
      <c r="G35" s="249" t="s">
        <v>378</v>
      </c>
      <c r="H35" s="249" t="s">
        <v>400</v>
      </c>
      <c r="I35" s="249" t="s">
        <v>411</v>
      </c>
      <c r="J35" s="249" t="s">
        <v>413</v>
      </c>
      <c r="K35" s="249" t="s">
        <v>414</v>
      </c>
      <c r="L35" s="261" t="str">
        <f>Class1_lvl&amp;" min."</f>
        <v>3 min.</v>
      </c>
      <c r="M35" s="261" t="str">
        <f>"(Will DC "&amp;10+A35+wismod&amp;" negate)"</f>
        <v>(Will DC 15 negate)</v>
      </c>
      <c r="N35" s="261" t="str">
        <f>"(d20 + "&amp;Class1_lvl&amp;")"</f>
        <v>(d20 + 3)</v>
      </c>
      <c r="O35" s="258" t="str">
        <f t="shared" si="0"/>
        <v>rul 7+dmg</v>
      </c>
      <c r="P35" s="258" t="str">
        <f t="shared" si="1"/>
        <v>rul 12</v>
      </c>
      <c r="Q35" s="249" t="s">
        <v>416</v>
      </c>
      <c r="R35" s="249" t="s">
        <v>417</v>
      </c>
      <c r="S35" s="254" t="s">
        <v>321</v>
      </c>
      <c r="T35" s="249"/>
      <c r="U35" s="235"/>
      <c r="V35" s="235"/>
      <c r="W35" s="235"/>
      <c r="X35" s="239"/>
      <c r="Y35" s="235"/>
      <c r="Z35" s="235"/>
      <c r="AA35" s="235"/>
    </row>
    <row r="36" spans="1:27" s="519" customFormat="1" ht="24">
      <c r="A36" s="512">
        <v>1</v>
      </c>
      <c r="B36" s="225" t="s">
        <v>692</v>
      </c>
      <c r="C36" s="513"/>
      <c r="D36" s="514"/>
      <c r="E36" s="515" t="s">
        <v>149</v>
      </c>
      <c r="F36" s="512" t="s">
        <v>138</v>
      </c>
      <c r="G36" s="516" t="s">
        <v>1173</v>
      </c>
      <c r="H36" s="516" t="s">
        <v>519</v>
      </c>
      <c r="I36" s="516" t="s">
        <v>428</v>
      </c>
      <c r="J36" s="517" t="str">
        <f>25+5*(Class1_lvl/2)&amp;" f."</f>
        <v>32,5 f.</v>
      </c>
      <c r="K36" s="516" t="s">
        <v>148</v>
      </c>
      <c r="L36" s="517" t="str">
        <f>Class1_lvl&amp;" rnd. (D)"</f>
        <v>3 rnd. (D)</v>
      </c>
      <c r="M36" s="512" t="s">
        <v>427</v>
      </c>
      <c r="N36" s="512" t="s">
        <v>427</v>
      </c>
      <c r="O36" s="518" t="str">
        <f t="shared" si="0"/>
        <v>rul 7+dmg</v>
      </c>
      <c r="P36" s="518" t="str">
        <f t="shared" si="1"/>
        <v>rul 12</v>
      </c>
      <c r="Q36" s="516" t="s">
        <v>416</v>
      </c>
      <c r="R36" s="516" t="s">
        <v>417</v>
      </c>
      <c r="S36" s="516" t="s">
        <v>1183</v>
      </c>
      <c r="U36" s="515"/>
      <c r="V36" s="515"/>
      <c r="W36" s="515"/>
      <c r="X36" s="520"/>
      <c r="Y36" s="515"/>
      <c r="Z36" s="515"/>
      <c r="AA36" s="515"/>
    </row>
    <row r="37" spans="1:27" s="237" customFormat="1" ht="24">
      <c r="A37" s="254">
        <v>2</v>
      </c>
      <c r="B37" s="238" t="s">
        <v>695</v>
      </c>
      <c r="C37" s="521"/>
      <c r="D37" s="521"/>
      <c r="E37" s="240" t="str">
        <f>"+ 1 morale bonus til attack og save mod fear-effects. Og 1d8+"&amp;IF(Class1_lvl&gt;9,10,Class1_lvl)&amp;" midlertidige HP."</f>
        <v>+ 1 morale bonus til attack og save mod fear-effects. Og 1d8+3 midlertidige HP.</v>
      </c>
      <c r="F37" s="254" t="s">
        <v>1188</v>
      </c>
      <c r="G37" s="249" t="s">
        <v>354</v>
      </c>
      <c r="H37" s="249" t="s">
        <v>38</v>
      </c>
      <c r="I37" s="249" t="s">
        <v>411</v>
      </c>
      <c r="J37" s="249" t="s">
        <v>413</v>
      </c>
      <c r="K37" s="249" t="s">
        <v>414</v>
      </c>
      <c r="L37" s="261" t="str">
        <f>Class1_lvl&amp;" min."</f>
        <v>3 min.</v>
      </c>
      <c r="M37" s="254" t="s">
        <v>427</v>
      </c>
      <c r="N37" s="261" t="str">
        <f>"(d20 + "&amp;Class1_lvl&amp;")"</f>
        <v>(d20 + 3)</v>
      </c>
      <c r="O37" s="258" t="str">
        <f aca="true" t="shared" si="2" ref="O37:O44">"rul "&amp;(10+A37)-skill_con&amp;"+dmg"</f>
        <v>rul 8+dmg</v>
      </c>
      <c r="P37" s="258" t="str">
        <f aca="true" t="shared" si="3" ref="P37:P44">"rul "&amp;(15+A37)-(skill_con)</f>
        <v>rul 13</v>
      </c>
      <c r="Q37" s="249" t="s">
        <v>416</v>
      </c>
      <c r="R37" s="249" t="s">
        <v>417</v>
      </c>
      <c r="S37" s="249" t="s">
        <v>1183</v>
      </c>
      <c r="T37" s="254"/>
      <c r="U37" s="235"/>
      <c r="V37" s="235"/>
      <c r="W37" s="235"/>
      <c r="X37" s="239"/>
      <c r="Y37" s="235"/>
      <c r="Z37" s="235"/>
      <c r="AA37" s="235"/>
    </row>
    <row r="38" spans="1:27" s="221" customFormat="1" ht="24">
      <c r="A38" s="255">
        <v>2</v>
      </c>
      <c r="B38" s="230" t="s">
        <v>696</v>
      </c>
      <c r="C38" s="522"/>
      <c r="D38" s="522"/>
      <c r="E38" s="413" t="s">
        <v>39</v>
      </c>
      <c r="F38" s="255" t="s">
        <v>138</v>
      </c>
      <c r="G38" s="250" t="s">
        <v>364</v>
      </c>
      <c r="H38" s="250" t="s">
        <v>399</v>
      </c>
      <c r="I38" s="250" t="s">
        <v>411</v>
      </c>
      <c r="J38" s="250" t="s">
        <v>413</v>
      </c>
      <c r="K38" s="250" t="s">
        <v>40</v>
      </c>
      <c r="L38" s="262" t="str">
        <f>Class1_lvl&amp;" min."</f>
        <v>3 min.</v>
      </c>
      <c r="M38" s="262" t="str">
        <f>"(Will DC "&amp;10+A38+wismod&amp;" negate)"</f>
        <v>(Will DC 16 negate)</v>
      </c>
      <c r="N38" s="262" t="str">
        <f>"(d20 + "&amp;Class1_lvl&amp;")"</f>
        <v>(d20 + 3)</v>
      </c>
      <c r="O38" s="414" t="str">
        <f t="shared" si="2"/>
        <v>rul 8+dmg</v>
      </c>
      <c r="P38" s="414" t="str">
        <f t="shared" si="3"/>
        <v>rul 13</v>
      </c>
      <c r="Q38" s="250" t="s">
        <v>416</v>
      </c>
      <c r="R38" s="250" t="s">
        <v>417</v>
      </c>
      <c r="S38" s="250" t="s">
        <v>1183</v>
      </c>
      <c r="T38" s="255"/>
      <c r="U38" s="229"/>
      <c r="V38" s="229"/>
      <c r="W38" s="229"/>
      <c r="X38" s="231"/>
      <c r="Y38" s="229"/>
      <c r="Z38" s="229"/>
      <c r="AA38" s="229"/>
    </row>
    <row r="39" spans="1:27" s="237" customFormat="1" ht="24">
      <c r="A39" s="254">
        <v>2</v>
      </c>
      <c r="B39" s="238" t="s">
        <v>697</v>
      </c>
      <c r="C39" s="521"/>
      <c r="D39" s="523"/>
      <c r="E39" s="240" t="str">
        <f>"Fortæller om resultatet af en handling vil give godt/dårligt/begge/ingen resultat inden for den næste 1 time. Der er "&amp;70+Class1_lvl&amp;"% chance. DM ruller."</f>
        <v>Fortæller om resultatet af en handling vil give godt/dårligt/begge/ingen resultat inden for den næste 1 time. Der er 73% chance. DM ruller.</v>
      </c>
      <c r="F39" s="265" t="s">
        <v>336</v>
      </c>
      <c r="G39" s="249" t="s">
        <v>342</v>
      </c>
      <c r="H39" s="249" t="s">
        <v>41</v>
      </c>
      <c r="I39" s="249" t="s">
        <v>415</v>
      </c>
      <c r="J39" s="249" t="s">
        <v>425</v>
      </c>
      <c r="K39" s="249" t="s">
        <v>426</v>
      </c>
      <c r="L39" s="249" t="s">
        <v>423</v>
      </c>
      <c r="M39" s="265" t="s">
        <v>336</v>
      </c>
      <c r="N39" s="265" t="s">
        <v>336</v>
      </c>
      <c r="O39" s="258" t="str">
        <f t="shared" si="2"/>
        <v>rul 8+dmg</v>
      </c>
      <c r="P39" s="258" t="str">
        <f t="shared" si="3"/>
        <v>rul 13</v>
      </c>
      <c r="Q39" s="249" t="s">
        <v>416</v>
      </c>
      <c r="R39" s="249" t="s">
        <v>417</v>
      </c>
      <c r="S39" s="254" t="s">
        <v>446</v>
      </c>
      <c r="T39" s="254"/>
      <c r="U39" s="235"/>
      <c r="V39" s="235"/>
      <c r="W39" s="235"/>
      <c r="X39" s="239"/>
      <c r="Y39" s="235"/>
      <c r="Z39" s="235"/>
      <c r="AA39" s="235"/>
    </row>
    <row r="40" spans="1:27" s="221" customFormat="1" ht="15">
      <c r="A40" s="255">
        <v>2</v>
      </c>
      <c r="B40" s="230" t="s">
        <v>698</v>
      </c>
      <c r="C40" s="522"/>
      <c r="D40" s="524"/>
      <c r="E40" s="412" t="s">
        <v>42</v>
      </c>
      <c r="F40" s="263" t="s">
        <v>336</v>
      </c>
      <c r="G40" s="250" t="s">
        <v>364</v>
      </c>
      <c r="H40" s="250" t="s">
        <v>1182</v>
      </c>
      <c r="I40" s="250" t="s">
        <v>411</v>
      </c>
      <c r="J40" s="250" t="s">
        <v>413</v>
      </c>
      <c r="K40" s="250" t="s">
        <v>414</v>
      </c>
      <c r="L40" s="262" t="str">
        <f>Class1_lvl&amp;" min."</f>
        <v>3 min.</v>
      </c>
      <c r="M40" s="262" t="str">
        <f>"(Will DC "&amp;10+A40+wismod&amp;" negate)"</f>
        <v>(Will DC 16 negate)</v>
      </c>
      <c r="N40" s="262" t="str">
        <f>"(d20 + "&amp;Class1_lvl&amp;")"</f>
        <v>(d20 + 3)</v>
      </c>
      <c r="O40" s="414" t="str">
        <f t="shared" si="2"/>
        <v>rul 8+dmg</v>
      </c>
      <c r="P40" s="414" t="str">
        <f t="shared" si="3"/>
        <v>rul 13</v>
      </c>
      <c r="Q40" s="250" t="s">
        <v>416</v>
      </c>
      <c r="R40" s="250" t="s">
        <v>417</v>
      </c>
      <c r="S40" s="250" t="s">
        <v>1183</v>
      </c>
      <c r="T40" s="255"/>
      <c r="U40" s="229"/>
      <c r="V40" s="229"/>
      <c r="W40" s="229"/>
      <c r="X40" s="231"/>
      <c r="Y40" s="229"/>
      <c r="Z40" s="229"/>
      <c r="AA40" s="229"/>
    </row>
    <row r="41" spans="1:27" s="237" customFormat="1" ht="15">
      <c r="A41" s="254">
        <v>2</v>
      </c>
      <c r="B41" s="238" t="s">
        <v>699</v>
      </c>
      <c r="C41" s="521"/>
      <c r="D41" s="523"/>
      <c r="E41" s="234" t="s">
        <v>43</v>
      </c>
      <c r="F41" s="265" t="s">
        <v>336</v>
      </c>
      <c r="G41" s="249" t="s">
        <v>364</v>
      </c>
      <c r="H41" s="249" t="s">
        <v>44</v>
      </c>
      <c r="I41" s="249" t="s">
        <v>411</v>
      </c>
      <c r="J41" s="249" t="s">
        <v>413</v>
      </c>
      <c r="K41" s="249" t="s">
        <v>414</v>
      </c>
      <c r="L41" s="261" t="str">
        <f>Class1_lvl&amp;" min."</f>
        <v>3 min.</v>
      </c>
      <c r="M41" s="261" t="str">
        <f>"(Will DC "&amp;10+A41+wismod&amp;" negate)"</f>
        <v>(Will DC 16 negate)</v>
      </c>
      <c r="N41" s="261" t="str">
        <f>"(d20 + "&amp;Class1_lvl&amp;")"</f>
        <v>(d20 + 3)</v>
      </c>
      <c r="O41" s="258" t="str">
        <f t="shared" si="2"/>
        <v>rul 8+dmg</v>
      </c>
      <c r="P41" s="258" t="str">
        <f t="shared" si="3"/>
        <v>rul 13</v>
      </c>
      <c r="Q41" s="249" t="s">
        <v>416</v>
      </c>
      <c r="R41" s="249" t="s">
        <v>417</v>
      </c>
      <c r="S41" s="249" t="s">
        <v>1183</v>
      </c>
      <c r="T41" s="254"/>
      <c r="U41" s="235"/>
      <c r="V41" s="235"/>
      <c r="W41" s="235"/>
      <c r="X41" s="239"/>
      <c r="Y41" s="235"/>
      <c r="Z41" s="235"/>
      <c r="AA41" s="235"/>
    </row>
    <row r="42" spans="1:27" s="221" customFormat="1" ht="36">
      <c r="A42" s="255">
        <v>2</v>
      </c>
      <c r="B42" s="230" t="s">
        <v>700</v>
      </c>
      <c r="C42" s="522"/>
      <c r="D42" s="522"/>
      <c r="E42" s="229" t="s">
        <v>45</v>
      </c>
      <c r="F42" s="255" t="s">
        <v>1188</v>
      </c>
      <c r="G42" s="250" t="s">
        <v>354</v>
      </c>
      <c r="H42" s="250" t="s">
        <v>44</v>
      </c>
      <c r="I42" s="250" t="s">
        <v>411</v>
      </c>
      <c r="J42" s="262" t="str">
        <f>100+10*Class1_lvl&amp;" f."</f>
        <v>130 f.</v>
      </c>
      <c r="K42" s="250" t="s">
        <v>46</v>
      </c>
      <c r="L42" s="262" t="str">
        <f>Class1_lvl&amp;" rnd. (D)"</f>
        <v>3 rnd. (D)</v>
      </c>
      <c r="M42" s="262" t="str">
        <f>"Will DC "&amp;10+A42+wismod&amp;" negate"</f>
        <v>Will DC 16 negate</v>
      </c>
      <c r="N42" s="262" t="str">
        <f>"d20 + "&amp;Class1_lvl</f>
        <v>d20 + 3</v>
      </c>
      <c r="O42" s="414" t="str">
        <f t="shared" si="2"/>
        <v>rul 8+dmg</v>
      </c>
      <c r="P42" s="414" t="str">
        <f t="shared" si="3"/>
        <v>rul 13</v>
      </c>
      <c r="Q42" s="250" t="s">
        <v>416</v>
      </c>
      <c r="R42" s="250" t="s">
        <v>417</v>
      </c>
      <c r="S42" s="250" t="s">
        <v>1183</v>
      </c>
      <c r="T42" s="255"/>
      <c r="U42" s="229"/>
      <c r="V42" s="229"/>
      <c r="W42" s="229"/>
      <c r="X42" s="231"/>
      <c r="Y42" s="229"/>
      <c r="Z42" s="229"/>
      <c r="AA42" s="229"/>
    </row>
    <row r="43" spans="1:27" s="237" customFormat="1" ht="36">
      <c r="A43" s="254">
        <v>2</v>
      </c>
      <c r="B43" s="238" t="s">
        <v>701</v>
      </c>
      <c r="C43" s="521"/>
      <c r="D43" s="521"/>
      <c r="E43" s="235" t="s">
        <v>47</v>
      </c>
      <c r="F43" s="254" t="s">
        <v>1190</v>
      </c>
      <c r="G43" s="249" t="s">
        <v>355</v>
      </c>
      <c r="H43" s="249" t="s">
        <v>1198</v>
      </c>
      <c r="I43" s="249" t="s">
        <v>411</v>
      </c>
      <c r="J43" s="261" t="str">
        <f>25+5*(Class1_lvl/2)&amp;" f."</f>
        <v>32,5 f.</v>
      </c>
      <c r="K43" s="249" t="s">
        <v>48</v>
      </c>
      <c r="L43" s="261" t="str">
        <f>Class1_lvl*2&amp;" timer"</f>
        <v>6 timer</v>
      </c>
      <c r="M43" s="254" t="s">
        <v>427</v>
      </c>
      <c r="N43" s="254" t="s">
        <v>427</v>
      </c>
      <c r="O43" s="258" t="str">
        <f t="shared" si="2"/>
        <v>rul 8+dmg</v>
      </c>
      <c r="P43" s="258" t="str">
        <f t="shared" si="3"/>
        <v>rul 13</v>
      </c>
      <c r="Q43" s="249" t="s">
        <v>416</v>
      </c>
      <c r="R43" s="249" t="s">
        <v>417</v>
      </c>
      <c r="S43" s="249" t="s">
        <v>1183</v>
      </c>
      <c r="T43" s="254"/>
      <c r="U43" s="235"/>
      <c r="V43" s="235"/>
      <c r="W43" s="235"/>
      <c r="X43" s="239"/>
      <c r="Y43" s="235"/>
      <c r="Z43" s="235"/>
      <c r="AA43" s="235"/>
    </row>
    <row r="44" spans="1:27" s="221" customFormat="1" ht="24">
      <c r="A44" s="255">
        <v>2</v>
      </c>
      <c r="B44" s="230" t="s">
        <v>702</v>
      </c>
      <c r="C44" s="522"/>
      <c r="D44" s="524"/>
      <c r="E44" s="232" t="str">
        <f>"Helbreder 2d8+"&amp;IF(Class1_lvl&gt;10,10,Class1_lvl)&amp;" HP. Skader undead."</f>
        <v>Helbreder 2d8+3 HP. Skader undead.</v>
      </c>
      <c r="F44" s="263" t="s">
        <v>336</v>
      </c>
      <c r="G44" s="250" t="s">
        <v>1173</v>
      </c>
      <c r="H44" s="250" t="s">
        <v>391</v>
      </c>
      <c r="I44" s="250" t="s">
        <v>411</v>
      </c>
      <c r="J44" s="250" t="s">
        <v>413</v>
      </c>
      <c r="K44" s="250" t="s">
        <v>414</v>
      </c>
      <c r="L44" s="250" t="s">
        <v>423</v>
      </c>
      <c r="M44" s="262" t="str">
        <f>"(Will DC "&amp;10+A44+wismod&amp;" half)"</f>
        <v>(Will DC 16 half)</v>
      </c>
      <c r="N44" s="262" t="str">
        <f>"(d20 + "&amp;Class1_lvl&amp;")"</f>
        <v>(d20 + 3)</v>
      </c>
      <c r="O44" s="414" t="str">
        <f t="shared" si="2"/>
        <v>rul 8+dmg</v>
      </c>
      <c r="P44" s="414" t="str">
        <f t="shared" si="3"/>
        <v>rul 13</v>
      </c>
      <c r="Q44" s="250" t="s">
        <v>416</v>
      </c>
      <c r="R44" s="250" t="s">
        <v>417</v>
      </c>
      <c r="S44" s="257"/>
      <c r="T44" s="255"/>
      <c r="U44" s="229"/>
      <c r="V44" s="229"/>
      <c r="W44" s="229"/>
      <c r="X44" s="231"/>
      <c r="Y44" s="229"/>
      <c r="Z44" s="229"/>
      <c r="AA44" s="229"/>
    </row>
    <row r="45" spans="1:27" s="237" customFormat="1" ht="24">
      <c r="A45" s="254">
        <v>2</v>
      </c>
      <c r="B45" s="238" t="s">
        <v>703</v>
      </c>
      <c r="C45" s="521"/>
      <c r="D45" s="521"/>
      <c r="E45" s="235" t="s">
        <v>49</v>
      </c>
      <c r="F45" s="254" t="s">
        <v>50</v>
      </c>
      <c r="G45" s="249" t="s">
        <v>355</v>
      </c>
      <c r="H45" s="249" t="s">
        <v>391</v>
      </c>
      <c r="I45" s="249" t="s">
        <v>411</v>
      </c>
      <c r="J45" s="249" t="s">
        <v>413</v>
      </c>
      <c r="K45" s="249" t="s">
        <v>420</v>
      </c>
      <c r="L45" s="261" t="str">
        <f>10*Class1_lvl&amp;" min. (D)"</f>
        <v>30 min. (D)</v>
      </c>
      <c r="M45" s="254" t="s">
        <v>427</v>
      </c>
      <c r="N45" s="254" t="s">
        <v>427</v>
      </c>
      <c r="O45" s="258" t="str">
        <f aca="true" t="shared" si="4" ref="O45:O50">"rul "&amp;(10+A45)-skill_con&amp;"+dmg"</f>
        <v>rul 8+dmg</v>
      </c>
      <c r="P45" s="258" t="str">
        <f aca="true" t="shared" si="5" ref="P45:P50">"rul "&amp;(15+A45)-(skill_con)</f>
        <v>rul 13</v>
      </c>
      <c r="Q45" s="249" t="s">
        <v>416</v>
      </c>
      <c r="R45" s="256"/>
      <c r="S45" s="249" t="s">
        <v>1183</v>
      </c>
      <c r="T45" s="254"/>
      <c r="U45" s="235"/>
      <c r="V45" s="235"/>
      <c r="W45" s="235"/>
      <c r="X45" s="239"/>
      <c r="Y45" s="235"/>
      <c r="Z45" s="235"/>
      <c r="AA45" s="235"/>
    </row>
    <row r="46" spans="1:27" s="221" customFormat="1" ht="24">
      <c r="A46" s="255">
        <v>2</v>
      </c>
      <c r="B46" s="230" t="s">
        <v>706</v>
      </c>
      <c r="C46" s="522"/>
      <c r="D46" s="524"/>
      <c r="E46" s="229" t="s">
        <v>59</v>
      </c>
      <c r="F46" s="263" t="s">
        <v>336</v>
      </c>
      <c r="G46" s="250" t="s">
        <v>1173</v>
      </c>
      <c r="H46" s="250" t="s">
        <v>60</v>
      </c>
      <c r="I46" s="250" t="s">
        <v>411</v>
      </c>
      <c r="J46" s="250" t="s">
        <v>413</v>
      </c>
      <c r="K46" s="250" t="s">
        <v>414</v>
      </c>
      <c r="L46" s="262" t="str">
        <f>Class1_lvl&amp;" timer"</f>
        <v>3 timer</v>
      </c>
      <c r="M46" s="262" t="str">
        <f>"(Fort DC "&amp;10+A46+wismod&amp;" negate)"</f>
        <v>(Fort DC 16 negate)</v>
      </c>
      <c r="N46" s="262" t="str">
        <f>"(d20 + "&amp;Class1_lvl&amp;")"</f>
        <v>(d20 + 3)</v>
      </c>
      <c r="O46" s="414" t="str">
        <f t="shared" si="4"/>
        <v>rul 8+dmg</v>
      </c>
      <c r="P46" s="414" t="str">
        <f t="shared" si="5"/>
        <v>rul 13</v>
      </c>
      <c r="Q46" s="250" t="s">
        <v>416</v>
      </c>
      <c r="R46" s="250" t="s">
        <v>417</v>
      </c>
      <c r="S46" s="250" t="s">
        <v>1183</v>
      </c>
      <c r="T46" s="255"/>
      <c r="U46" s="229"/>
      <c r="V46" s="229"/>
      <c r="W46" s="229"/>
      <c r="X46" s="231"/>
      <c r="Y46" s="229"/>
      <c r="Z46" s="229"/>
      <c r="AA46" s="229"/>
    </row>
    <row r="47" spans="1:27" s="237" customFormat="1" ht="15">
      <c r="A47" s="254">
        <v>2</v>
      </c>
      <c r="B47" s="238" t="s">
        <v>708</v>
      </c>
      <c r="C47" s="521"/>
      <c r="D47" s="523"/>
      <c r="E47" s="234" t="s">
        <v>61</v>
      </c>
      <c r="F47" s="265" t="s">
        <v>336</v>
      </c>
      <c r="G47" s="249" t="s">
        <v>364</v>
      </c>
      <c r="H47" s="249" t="s">
        <v>1206</v>
      </c>
      <c r="I47" s="249" t="s">
        <v>411</v>
      </c>
      <c r="J47" s="249" t="s">
        <v>413</v>
      </c>
      <c r="K47" s="249" t="s">
        <v>414</v>
      </c>
      <c r="L47" s="261" t="str">
        <f>Class1_lvl&amp;" min."</f>
        <v>3 min.</v>
      </c>
      <c r="M47" s="261" t="str">
        <f>"(Will DC "&amp;10+A47+wismod&amp;" negate)"</f>
        <v>(Will DC 16 negate)</v>
      </c>
      <c r="N47" s="261" t="str">
        <f>"(d20 + "&amp;Class1_lvl&amp;")"</f>
        <v>(d20 + 3)</v>
      </c>
      <c r="O47" s="258" t="str">
        <f t="shared" si="4"/>
        <v>rul 8+dmg</v>
      </c>
      <c r="P47" s="258" t="str">
        <f t="shared" si="5"/>
        <v>rul 13</v>
      </c>
      <c r="Q47" s="249" t="s">
        <v>416</v>
      </c>
      <c r="R47" s="249" t="s">
        <v>417</v>
      </c>
      <c r="S47" s="249" t="s">
        <v>1183</v>
      </c>
      <c r="T47" s="254"/>
      <c r="U47" s="235"/>
      <c r="V47" s="235"/>
      <c r="W47" s="235"/>
      <c r="X47" s="239"/>
      <c r="Y47" s="235"/>
      <c r="Z47" s="235"/>
      <c r="AA47" s="235"/>
    </row>
    <row r="48" spans="1:27" s="221" customFormat="1" ht="24">
      <c r="A48" s="255">
        <v>2</v>
      </c>
      <c r="B48" s="230" t="s">
        <v>709</v>
      </c>
      <c r="C48" s="525"/>
      <c r="D48" s="525"/>
      <c r="E48" s="229" t="s">
        <v>62</v>
      </c>
      <c r="F48" s="501" t="s">
        <v>63</v>
      </c>
      <c r="G48" s="250" t="s">
        <v>354</v>
      </c>
      <c r="H48" s="250" t="s">
        <v>1210</v>
      </c>
      <c r="I48" s="250" t="s">
        <v>428</v>
      </c>
      <c r="J48" s="262" t="str">
        <f>100+10*Class1_lvl&amp;" f."</f>
        <v>130 f.</v>
      </c>
      <c r="K48" s="250" t="s">
        <v>64</v>
      </c>
      <c r="L48" s="250" t="s">
        <v>65</v>
      </c>
      <c r="M48" s="262" t="str">
        <f>"Will DC "&amp;10+A48+wismod&amp;" negate"</f>
        <v>Will DC 16 negate</v>
      </c>
      <c r="N48" s="262" t="str">
        <f>"d20 + "&amp;Class1_lvl</f>
        <v>d20 + 3</v>
      </c>
      <c r="O48" s="414" t="str">
        <f t="shared" si="4"/>
        <v>rul 8+dmg</v>
      </c>
      <c r="P48" s="414" t="str">
        <f t="shared" si="5"/>
        <v>rul 13</v>
      </c>
      <c r="Q48" s="250" t="s">
        <v>416</v>
      </c>
      <c r="R48" s="250" t="s">
        <v>417</v>
      </c>
      <c r="S48" s="257"/>
      <c r="T48" s="255"/>
      <c r="U48" s="229"/>
      <c r="V48" s="229"/>
      <c r="W48" s="229"/>
      <c r="X48" s="231"/>
      <c r="Y48" s="229"/>
      <c r="Z48" s="229"/>
      <c r="AA48" s="229"/>
    </row>
    <row r="49" spans="1:27" s="237" customFormat="1" ht="15">
      <c r="A49" s="254">
        <v>2</v>
      </c>
      <c r="B49" s="238" t="s">
        <v>66</v>
      </c>
      <c r="C49" s="521"/>
      <c r="D49" s="523"/>
      <c r="E49" s="240" t="str">
        <f>"Du kan bruge search +"&amp;IF(Class1_lvl/2&gt;10,10,CEILING(Class1_lvl/2,1)&amp;" til at finde fælder. Gælder ikke at fjerne fælder.")</f>
        <v>Du kan bruge search +2 til at finde fælder. Gælder ikke at fjerne fælder.</v>
      </c>
      <c r="F49" s="265" t="s">
        <v>336</v>
      </c>
      <c r="G49" s="249" t="s">
        <v>342</v>
      </c>
      <c r="H49" s="249" t="s">
        <v>67</v>
      </c>
      <c r="I49" s="249" t="s">
        <v>411</v>
      </c>
      <c r="J49" s="249" t="s">
        <v>425</v>
      </c>
      <c r="K49" s="249" t="s">
        <v>426</v>
      </c>
      <c r="L49" s="261" t="str">
        <f>Class1_lvl&amp;" min."</f>
        <v>3 min.</v>
      </c>
      <c r="M49" s="265" t="s">
        <v>336</v>
      </c>
      <c r="N49" s="265" t="s">
        <v>336</v>
      </c>
      <c r="O49" s="258" t="str">
        <f t="shared" si="4"/>
        <v>rul 8+dmg</v>
      </c>
      <c r="P49" s="258" t="str">
        <f t="shared" si="5"/>
        <v>rul 13</v>
      </c>
      <c r="Q49" s="249" t="s">
        <v>416</v>
      </c>
      <c r="R49" s="249" t="s">
        <v>417</v>
      </c>
      <c r="S49" s="256"/>
      <c r="T49" s="254"/>
      <c r="U49" s="235"/>
      <c r="V49" s="235"/>
      <c r="W49" s="235"/>
      <c r="X49" s="239"/>
      <c r="Y49" s="235"/>
      <c r="Z49" s="235"/>
      <c r="AA49" s="235"/>
    </row>
    <row r="50" spans="1:27" s="221" customFormat="1" ht="15">
      <c r="A50" s="255">
        <v>2</v>
      </c>
      <c r="B50" s="230" t="s">
        <v>712</v>
      </c>
      <c r="C50" s="522"/>
      <c r="D50" s="524"/>
      <c r="E50" s="229" t="s">
        <v>68</v>
      </c>
      <c r="F50" s="263" t="s">
        <v>336</v>
      </c>
      <c r="G50" s="250" t="s">
        <v>357</v>
      </c>
      <c r="H50" s="250" t="s">
        <v>69</v>
      </c>
      <c r="I50" s="250" t="s">
        <v>411</v>
      </c>
      <c r="J50" s="250" t="s">
        <v>413</v>
      </c>
      <c r="K50" s="250" t="s">
        <v>70</v>
      </c>
      <c r="L50" s="262" t="str">
        <f>Class1_lvl&amp;" dage"</f>
        <v>3 dage</v>
      </c>
      <c r="M50" s="262" t="str">
        <f>"(Will DC "&amp;10+A50+wismod&amp;" negate)"</f>
        <v>(Will DC 16 negate)</v>
      </c>
      <c r="N50" s="262" t="str">
        <f>"(d20 + "&amp;Class1_lvl&amp;")"</f>
        <v>(d20 + 3)</v>
      </c>
      <c r="O50" s="414" t="str">
        <f t="shared" si="4"/>
        <v>rul 8+dmg</v>
      </c>
      <c r="P50" s="414" t="str">
        <f t="shared" si="5"/>
        <v>rul 13</v>
      </c>
      <c r="Q50" s="250" t="s">
        <v>416</v>
      </c>
      <c r="R50" s="250" t="s">
        <v>417</v>
      </c>
      <c r="S50" s="250" t="s">
        <v>1183</v>
      </c>
      <c r="T50" s="255"/>
      <c r="U50" s="229"/>
      <c r="V50" s="229"/>
      <c r="W50" s="229"/>
      <c r="X50" s="231"/>
      <c r="Y50" s="229"/>
      <c r="Z50" s="229"/>
      <c r="AA50" s="229"/>
    </row>
    <row r="51" spans="1:27" s="237" customFormat="1" ht="36">
      <c r="A51" s="443">
        <v>2</v>
      </c>
      <c r="B51" s="279" t="s">
        <v>879</v>
      </c>
      <c r="C51" s="521"/>
      <c r="D51" s="523"/>
      <c r="E51" s="235" t="s">
        <v>71</v>
      </c>
      <c r="F51" s="505" t="s">
        <v>72</v>
      </c>
      <c r="G51" s="249" t="s">
        <v>355</v>
      </c>
      <c r="H51" s="249" t="s">
        <v>1174</v>
      </c>
      <c r="I51" s="249" t="s">
        <v>411</v>
      </c>
      <c r="J51" s="249" t="s">
        <v>73</v>
      </c>
      <c r="K51" s="266" t="s">
        <v>336</v>
      </c>
      <c r="L51" s="249" t="s">
        <v>1196</v>
      </c>
      <c r="M51" s="261" t="str">
        <f>"Fort DC "&amp;10+A51+wismod&amp;" negate"</f>
        <v>Fort DC 16 negate</v>
      </c>
      <c r="N51" s="261" t="str">
        <f>"d20 + "&amp;Class1_lvl</f>
        <v>d20 + 3</v>
      </c>
      <c r="O51" s="258" t="str">
        <f aca="true" t="shared" si="6" ref="O51:O66">"rul "&amp;(10+A51)-skill_con&amp;"+dmg"</f>
        <v>rul 8+dmg</v>
      </c>
      <c r="P51" s="258" t="str">
        <f aca="true" t="shared" si="7" ref="P51:P66">"rul "&amp;(15+A51)-(skill_con)</f>
        <v>rul 13</v>
      </c>
      <c r="Q51" s="249" t="s">
        <v>416</v>
      </c>
      <c r="R51" s="249" t="s">
        <v>417</v>
      </c>
      <c r="S51" s="256"/>
      <c r="T51" s="254"/>
      <c r="U51" s="235"/>
      <c r="V51" s="235"/>
      <c r="W51" s="235"/>
      <c r="X51" s="239"/>
      <c r="Y51" s="235"/>
      <c r="Z51" s="235"/>
      <c r="AA51" s="235"/>
    </row>
    <row r="52" spans="1:27" s="221" customFormat="1" ht="24">
      <c r="A52" s="255">
        <v>2</v>
      </c>
      <c r="B52" s="230" t="s">
        <v>713</v>
      </c>
      <c r="C52" s="522"/>
      <c r="D52" s="522"/>
      <c r="E52" s="229" t="s">
        <v>74</v>
      </c>
      <c r="F52" s="255" t="s">
        <v>1188</v>
      </c>
      <c r="G52" s="250" t="s">
        <v>354</v>
      </c>
      <c r="H52" s="250" t="s">
        <v>1213</v>
      </c>
      <c r="I52" s="249" t="s">
        <v>411</v>
      </c>
      <c r="J52" s="262" t="str">
        <f>100+10*Class1_lvl&amp;" f."</f>
        <v>130 f.</v>
      </c>
      <c r="K52" s="249" t="s">
        <v>75</v>
      </c>
      <c r="L52" s="262" t="str">
        <f>Class1_lvl&amp;" rnd. (D)"</f>
        <v>3 rnd. (D)</v>
      </c>
      <c r="M52" s="262" t="str">
        <f>"Will DC "&amp;10+A52+wismod&amp;" negate"</f>
        <v>Will DC 16 negate</v>
      </c>
      <c r="N52" s="262" t="str">
        <f>"d20 + "&amp;Class1_lvl</f>
        <v>d20 + 3</v>
      </c>
      <c r="O52" s="258" t="str">
        <f t="shared" si="6"/>
        <v>rul 8+dmg</v>
      </c>
      <c r="P52" s="258" t="str">
        <f t="shared" si="7"/>
        <v>rul 13</v>
      </c>
      <c r="Q52" s="249" t="s">
        <v>416</v>
      </c>
      <c r="R52" s="249" t="s">
        <v>417</v>
      </c>
      <c r="S52" s="249" t="s">
        <v>1183</v>
      </c>
      <c r="T52" s="255"/>
      <c r="U52" s="229"/>
      <c r="V52" s="229"/>
      <c r="W52" s="229"/>
      <c r="X52" s="231"/>
      <c r="Y52" s="229"/>
      <c r="Z52" s="229"/>
      <c r="AA52" s="229"/>
    </row>
    <row r="53" spans="1:27" s="237" customFormat="1" ht="24">
      <c r="A53" s="254">
        <v>2</v>
      </c>
      <c r="B53" s="238" t="s">
        <v>715</v>
      </c>
      <c r="C53" s="521"/>
      <c r="D53" s="523"/>
      <c r="E53" s="235" t="s">
        <v>76</v>
      </c>
      <c r="F53" s="265" t="s">
        <v>336</v>
      </c>
      <c r="G53" s="249" t="s">
        <v>364</v>
      </c>
      <c r="H53" s="249" t="s">
        <v>77</v>
      </c>
      <c r="I53" s="249" t="s">
        <v>411</v>
      </c>
      <c r="J53" s="261" t="str">
        <f>25+5*(Class1_lvl/2)&amp;" f."</f>
        <v>32,5 f.</v>
      </c>
      <c r="K53" s="261" t="str">
        <f>"1 obj. &lt; "&amp;10*Class1_lvl&amp;" cub.ft."</f>
        <v>1 obj. &lt; 30 cub.ft.</v>
      </c>
      <c r="L53" s="249" t="s">
        <v>423</v>
      </c>
      <c r="M53" s="261" t="str">
        <f>"(Will DC "&amp;10+A53+wismod&amp;" negate)"</f>
        <v>(Will DC 16 negate)</v>
      </c>
      <c r="N53" s="261" t="str">
        <f>"(d20 + "&amp;Class1_lvl&amp;")"</f>
        <v>(d20 + 3)</v>
      </c>
      <c r="O53" s="258" t="str">
        <f t="shared" si="6"/>
        <v>rul 8+dmg</v>
      </c>
      <c r="P53" s="258" t="str">
        <f t="shared" si="7"/>
        <v>rul 13</v>
      </c>
      <c r="Q53" s="249" t="s">
        <v>416</v>
      </c>
      <c r="R53" s="249" t="s">
        <v>417</v>
      </c>
      <c r="S53" s="256"/>
      <c r="T53" s="254"/>
      <c r="U53" s="235"/>
      <c r="V53" s="235"/>
      <c r="W53" s="235"/>
      <c r="X53" s="239"/>
      <c r="Y53" s="235"/>
      <c r="Z53" s="235"/>
      <c r="AA53" s="235"/>
    </row>
    <row r="54" spans="1:27" s="221" customFormat="1" ht="15" customHeight="1">
      <c r="A54" s="255">
        <v>2</v>
      </c>
      <c r="B54" s="230" t="s">
        <v>716</v>
      </c>
      <c r="C54" s="522"/>
      <c r="D54" s="524"/>
      <c r="E54" s="412" t="s">
        <v>78</v>
      </c>
      <c r="F54" s="263" t="s">
        <v>336</v>
      </c>
      <c r="G54" s="250" t="s">
        <v>364</v>
      </c>
      <c r="H54" s="250" t="s">
        <v>79</v>
      </c>
      <c r="I54" s="250" t="s">
        <v>411</v>
      </c>
      <c r="J54" s="250" t="s">
        <v>413</v>
      </c>
      <c r="K54" s="250" t="s">
        <v>414</v>
      </c>
      <c r="L54" s="261" t="str">
        <f>Class1_lvl&amp;" min."</f>
        <v>3 min.</v>
      </c>
      <c r="M54" s="261" t="str">
        <f>"(Will DC "&amp;10+A54+wismod&amp;" negate)"</f>
        <v>(Will DC 16 negate)</v>
      </c>
      <c r="N54" s="261" t="str">
        <f>"(d20 + "&amp;Class1_lvl&amp;")"</f>
        <v>(d20 + 3)</v>
      </c>
      <c r="O54" s="258" t="str">
        <f t="shared" si="6"/>
        <v>rul 8+dmg</v>
      </c>
      <c r="P54" s="258" t="str">
        <f t="shared" si="7"/>
        <v>rul 13</v>
      </c>
      <c r="Q54" s="249" t="s">
        <v>416</v>
      </c>
      <c r="R54" s="249" t="s">
        <v>417</v>
      </c>
      <c r="S54" s="249" t="s">
        <v>1183</v>
      </c>
      <c r="T54" s="255"/>
      <c r="U54" s="229"/>
      <c r="V54" s="229"/>
      <c r="W54" s="229"/>
      <c r="X54" s="231"/>
      <c r="Y54" s="229"/>
      <c r="Z54" s="229"/>
      <c r="AA54" s="229"/>
    </row>
    <row r="55" spans="1:27" s="519" customFormat="1" ht="27">
      <c r="A55" s="512">
        <v>2</v>
      </c>
      <c r="B55" s="225" t="s">
        <v>717</v>
      </c>
      <c r="C55" s="502"/>
      <c r="D55" s="503"/>
      <c r="E55" s="515" t="s">
        <v>80</v>
      </c>
      <c r="F55" s="504" t="s">
        <v>336</v>
      </c>
      <c r="G55" s="516" t="s">
        <v>1173</v>
      </c>
      <c r="H55" s="516" t="s">
        <v>144</v>
      </c>
      <c r="I55" s="516" t="s">
        <v>411</v>
      </c>
      <c r="J55" s="517" t="str">
        <f>25+5*(Class1_lvl/2)&amp;" f."</f>
        <v>32,5 f.</v>
      </c>
      <c r="K55" s="516" t="s">
        <v>81</v>
      </c>
      <c r="L55" s="516" t="s">
        <v>423</v>
      </c>
      <c r="M55" s="517" t="str">
        <f>"Will DC "&amp;10+A55+wismod&amp;" negate*"</f>
        <v>Will DC 16 negate*</v>
      </c>
      <c r="N55" s="517" t="str">
        <f>"d20 + "&amp;Class1_lvl</f>
        <v>d20 + 3</v>
      </c>
      <c r="O55" s="518" t="str">
        <f t="shared" si="6"/>
        <v>rul 8+dmg</v>
      </c>
      <c r="P55" s="518" t="str">
        <f t="shared" si="7"/>
        <v>rul 13</v>
      </c>
      <c r="Q55" s="516" t="s">
        <v>416</v>
      </c>
      <c r="R55" s="516" t="s">
        <v>417</v>
      </c>
      <c r="S55" s="526"/>
      <c r="T55" s="512"/>
      <c r="U55" s="515"/>
      <c r="V55" s="515"/>
      <c r="W55" s="515"/>
      <c r="X55" s="520"/>
      <c r="Y55" s="515"/>
      <c r="Z55" s="515"/>
      <c r="AA55" s="515"/>
    </row>
    <row r="56" spans="1:27" s="237" customFormat="1" ht="24">
      <c r="A56" s="254">
        <v>2</v>
      </c>
      <c r="B56" s="238" t="s">
        <v>718</v>
      </c>
      <c r="C56" s="521"/>
      <c r="D56" s="523"/>
      <c r="E56" s="240" t="str">
        <f>"Reducerer skade med "&amp;IF(Class1_lvl&lt;11,IF(Class1_lvl&lt;7,10,20),30)&amp;" HP fra syre, kulde, elektricitet, ild eller lyd, som vælges når remsen kastes."</f>
        <v>Reducerer skade med 10 HP fra syre, kulde, elektricitet, ild eller lyd, som vælges når remsen kastes.</v>
      </c>
      <c r="F56" s="265" t="s">
        <v>336</v>
      </c>
      <c r="G56" s="249" t="s">
        <v>378</v>
      </c>
      <c r="H56" s="249" t="s">
        <v>388</v>
      </c>
      <c r="I56" s="249" t="s">
        <v>411</v>
      </c>
      <c r="J56" s="249" t="s">
        <v>413</v>
      </c>
      <c r="K56" s="249" t="s">
        <v>414</v>
      </c>
      <c r="L56" s="261" t="str">
        <f>10*Class1_lvl&amp;" min."</f>
        <v>30 min.</v>
      </c>
      <c r="M56" s="261" t="str">
        <f>"(Fort DC "&amp;10+A56+wismod&amp;" negate)"</f>
        <v>(Fort DC 16 negate)</v>
      </c>
      <c r="N56" s="261" t="str">
        <f>"(d20 + "&amp;Class1_lvl&amp;")"</f>
        <v>(d20 + 3)</v>
      </c>
      <c r="O56" s="258" t="str">
        <f t="shared" si="6"/>
        <v>rul 8+dmg</v>
      </c>
      <c r="P56" s="258" t="str">
        <f t="shared" si="7"/>
        <v>rul 13</v>
      </c>
      <c r="Q56" s="249" t="s">
        <v>416</v>
      </c>
      <c r="R56" s="249" t="s">
        <v>417</v>
      </c>
      <c r="S56" s="249" t="s">
        <v>1183</v>
      </c>
      <c r="T56" s="254"/>
      <c r="U56" s="235"/>
      <c r="V56" s="235"/>
      <c r="W56" s="235"/>
      <c r="X56" s="239"/>
      <c r="Y56" s="235"/>
      <c r="Z56" s="235"/>
      <c r="AA56" s="235"/>
    </row>
    <row r="57" spans="1:27" s="221" customFormat="1" ht="24">
      <c r="A57" s="255">
        <v>2</v>
      </c>
      <c r="B57" s="230" t="s">
        <v>719</v>
      </c>
      <c r="C57" s="522"/>
      <c r="D57" s="524"/>
      <c r="E57" s="229" t="s">
        <v>82</v>
      </c>
      <c r="F57" s="263" t="s">
        <v>336</v>
      </c>
      <c r="G57" s="250" t="s">
        <v>1173</v>
      </c>
      <c r="H57" s="250" t="s">
        <v>388</v>
      </c>
      <c r="I57" s="250" t="s">
        <v>83</v>
      </c>
      <c r="J57" s="250" t="s">
        <v>413</v>
      </c>
      <c r="K57" s="250" t="s">
        <v>414</v>
      </c>
      <c r="L57" s="250" t="s">
        <v>423</v>
      </c>
      <c r="M57" s="262" t="str">
        <f>"(Will DC "&amp;10+A57+wismod&amp;" negate)"</f>
        <v>(Will DC 16 negate)</v>
      </c>
      <c r="N57" s="262" t="str">
        <f>"(d20 + "&amp;Class1_lvl&amp;")"</f>
        <v>(d20 + 3)</v>
      </c>
      <c r="O57" s="414" t="str">
        <f t="shared" si="6"/>
        <v>rul 8+dmg</v>
      </c>
      <c r="P57" s="414" t="str">
        <f t="shared" si="7"/>
        <v>rul 13</v>
      </c>
      <c r="Q57" s="250" t="s">
        <v>416</v>
      </c>
      <c r="R57" s="250" t="s">
        <v>417</v>
      </c>
      <c r="S57" s="257"/>
      <c r="T57" s="255"/>
      <c r="U57" s="229"/>
      <c r="V57" s="229"/>
      <c r="W57" s="229"/>
      <c r="X57" s="231"/>
      <c r="Y57" s="229"/>
      <c r="Z57" s="229"/>
      <c r="AA57" s="229"/>
    </row>
    <row r="58" spans="1:27" s="237" customFormat="1" ht="27">
      <c r="A58" s="254">
        <v>2</v>
      </c>
      <c r="B58" s="238" t="s">
        <v>720</v>
      </c>
      <c r="C58" s="527"/>
      <c r="D58" s="527"/>
      <c r="E58" s="240" t="str">
        <f>"Smadrer alt glas, porcelæn mv. &lt; "&amp;Class1_lvl&amp;" pund. Eller ét obj. &lt; "&amp;10*Class1_lvl&amp;" pund. Eller giver "&amp;IF(Class1_lvl&lt;10,Class1_lvl,10)&amp;"d6 dmg. til krystal monster."</f>
        <v>Smadrer alt glas, porcelæn mv. &lt; 3 pund. Eller ét obj. &lt; 30 pund. Eller giver 3d6 dmg. til krystal monster.</v>
      </c>
      <c r="F58" s="505" t="s">
        <v>417</v>
      </c>
      <c r="G58" s="249" t="s">
        <v>355</v>
      </c>
      <c r="H58" s="249" t="s">
        <v>400</v>
      </c>
      <c r="I58" s="249" t="s">
        <v>411</v>
      </c>
      <c r="J58" s="261" t="str">
        <f>25+5*(Class1_lvl/2)&amp;" f."</f>
        <v>32,5 f.</v>
      </c>
      <c r="K58" s="249" t="s">
        <v>84</v>
      </c>
      <c r="L58" s="249" t="s">
        <v>423</v>
      </c>
      <c r="M58" s="261" t="str">
        <f>"(Will DC "&amp;10+A58+wismod&amp;" negate)
Fort DC "&amp;10+A51+wismod&amp;" halverer"</f>
        <v>(Will DC 16 negate)
Fort DC 16 halverer</v>
      </c>
      <c r="N58" s="261" t="str">
        <f>"(d20 + "&amp;Class1_lvl&amp;")
d20 + "&amp;Class1_lvl</f>
        <v>(d20 + 3)
d20 + 3</v>
      </c>
      <c r="O58" s="258" t="str">
        <f t="shared" si="6"/>
        <v>rul 8+dmg</v>
      </c>
      <c r="P58" s="258" t="str">
        <f t="shared" si="7"/>
        <v>rul 13</v>
      </c>
      <c r="Q58" s="249" t="s">
        <v>416</v>
      </c>
      <c r="R58" s="249" t="s">
        <v>417</v>
      </c>
      <c r="S58" s="249" t="s">
        <v>1183</v>
      </c>
      <c r="T58" s="254"/>
      <c r="U58" s="235"/>
      <c r="V58" s="235"/>
      <c r="W58" s="235"/>
      <c r="X58" s="239"/>
      <c r="Y58" s="235"/>
      <c r="Z58" s="235"/>
      <c r="AA58" s="235"/>
    </row>
    <row r="59" spans="1:27" s="221" customFormat="1" ht="24">
      <c r="A59" s="255">
        <v>2</v>
      </c>
      <c r="B59" s="230" t="s">
        <v>722</v>
      </c>
      <c r="C59" s="522"/>
      <c r="D59" s="524"/>
      <c r="E59" s="229" t="s">
        <v>85</v>
      </c>
      <c r="F59" s="263" t="s">
        <v>336</v>
      </c>
      <c r="G59" s="250" t="s">
        <v>378</v>
      </c>
      <c r="H59" s="250" t="s">
        <v>400</v>
      </c>
      <c r="I59" s="250" t="s">
        <v>411</v>
      </c>
      <c r="J59" s="262" t="str">
        <f>25+5*(Class1_lvl/2)&amp;" f."</f>
        <v>32,5 f.</v>
      </c>
      <c r="K59" s="250" t="s">
        <v>86</v>
      </c>
      <c r="L59" s="262" t="str">
        <f>Class1_lvl&amp;" timer (D)"</f>
        <v>3 timer (D)</v>
      </c>
      <c r="M59" s="262" t="str">
        <f>"(Will DC "&amp;10+A59+wismod&amp;" negate)"</f>
        <v>(Will DC 16 negate)</v>
      </c>
      <c r="N59" s="262" t="str">
        <f>"(d20 + "&amp;Class1_lvl&amp;")"</f>
        <v>(d20 + 3)</v>
      </c>
      <c r="O59" s="414" t="str">
        <f t="shared" si="6"/>
        <v>rul 8+dmg</v>
      </c>
      <c r="P59" s="414" t="str">
        <f t="shared" si="7"/>
        <v>rul 13</v>
      </c>
      <c r="Q59" s="250" t="s">
        <v>416</v>
      </c>
      <c r="R59" s="250" t="s">
        <v>417</v>
      </c>
      <c r="S59" s="250" t="s">
        <v>1183</v>
      </c>
      <c r="T59" s="255"/>
      <c r="U59" s="229"/>
      <c r="V59" s="229"/>
      <c r="W59" s="229"/>
      <c r="X59" s="231"/>
      <c r="Y59" s="229"/>
      <c r="Z59" s="229"/>
      <c r="AA59" s="229"/>
    </row>
    <row r="60" spans="1:27" s="237" customFormat="1" ht="15">
      <c r="A60" s="254">
        <v>2</v>
      </c>
      <c r="B60" s="238" t="s">
        <v>723</v>
      </c>
      <c r="C60" s="521"/>
      <c r="D60" s="523"/>
      <c r="E60" s="235" t="s">
        <v>87</v>
      </c>
      <c r="F60" s="265" t="s">
        <v>336</v>
      </c>
      <c r="G60" s="249" t="s">
        <v>356</v>
      </c>
      <c r="H60" s="249" t="s">
        <v>404</v>
      </c>
      <c r="I60" s="249" t="s">
        <v>411</v>
      </c>
      <c r="J60" s="261" t="str">
        <f>400+40*Class1_lvl&amp;" f."</f>
        <v>520 f.</v>
      </c>
      <c r="K60" s="249" t="s">
        <v>48</v>
      </c>
      <c r="L60" s="261" t="str">
        <f>Class1_lvl&amp;" min. (D)"</f>
        <v>3 min. (D)</v>
      </c>
      <c r="M60" s="261" t="str">
        <f>"(Will DC "&amp;10+A60+wismod&amp;" negate)"</f>
        <v>(Will DC 16 negate)</v>
      </c>
      <c r="N60" s="261" t="str">
        <f>"(d20 + "&amp;Class1_lvl&amp;")"</f>
        <v>(d20 + 3)</v>
      </c>
      <c r="O60" s="258" t="str">
        <f t="shared" si="6"/>
        <v>rul 8+dmg</v>
      </c>
      <c r="P60" s="258" t="str">
        <f t="shared" si="7"/>
        <v>rul 13</v>
      </c>
      <c r="Q60" s="249" t="s">
        <v>416</v>
      </c>
      <c r="R60" s="249" t="s">
        <v>417</v>
      </c>
      <c r="S60" s="256"/>
      <c r="T60" s="254"/>
      <c r="U60" s="235"/>
      <c r="V60" s="235"/>
      <c r="W60" s="235"/>
      <c r="X60" s="239"/>
      <c r="Y60" s="235"/>
      <c r="Z60" s="235"/>
      <c r="AA60" s="235"/>
    </row>
    <row r="61" spans="1:27" s="221" customFormat="1" ht="15">
      <c r="A61" s="442">
        <v>2</v>
      </c>
      <c r="B61" s="417" t="s">
        <v>725</v>
      </c>
      <c r="C61" s="525"/>
      <c r="D61" s="525"/>
      <c r="E61" s="229" t="s">
        <v>88</v>
      </c>
      <c r="F61" s="501" t="s">
        <v>417</v>
      </c>
      <c r="G61" s="250" t="s">
        <v>355</v>
      </c>
      <c r="H61" s="250" t="s">
        <v>89</v>
      </c>
      <c r="I61" s="250" t="s">
        <v>411</v>
      </c>
      <c r="J61" s="262" t="str">
        <f>25+5*(Class1_lvl/2)&amp;" f."</f>
        <v>32,5 f.</v>
      </c>
      <c r="K61" s="250" t="s">
        <v>90</v>
      </c>
      <c r="L61" s="250" t="s">
        <v>423</v>
      </c>
      <c r="M61" s="262" t="str">
        <f>"Fort DC "&amp;10+A61+wismod&amp;" partial"</f>
        <v>Fort DC 16 partial</v>
      </c>
      <c r="N61" s="262" t="str">
        <f>"d20 + "&amp;Class1_lvl</f>
        <v>d20 + 3</v>
      </c>
      <c r="O61" s="414" t="str">
        <f t="shared" si="6"/>
        <v>rul 8+dmg</v>
      </c>
      <c r="P61" s="414" t="str">
        <f t="shared" si="7"/>
        <v>rul 13</v>
      </c>
      <c r="Q61" s="250" t="s">
        <v>416</v>
      </c>
      <c r="R61" s="250" t="s">
        <v>417</v>
      </c>
      <c r="S61" s="250" t="s">
        <v>1183</v>
      </c>
      <c r="T61" s="255"/>
      <c r="U61" s="229"/>
      <c r="V61" s="229"/>
      <c r="W61" s="229"/>
      <c r="X61" s="231"/>
      <c r="Y61" s="229"/>
      <c r="Z61" s="229"/>
      <c r="AA61" s="229"/>
    </row>
    <row r="62" spans="1:27" s="237" customFormat="1" ht="47.25" customHeight="1">
      <c r="A62" s="254">
        <v>2</v>
      </c>
      <c r="B62" s="238" t="s">
        <v>726</v>
      </c>
      <c r="C62" s="521"/>
      <c r="D62" s="521"/>
      <c r="E62" s="240" t="str">
        <f>"Fremkalder svævende våben* der giver 1d8+"&amp;IF(Class1_lvl&lt;15,FLOOR(Class1_lvl/3,1),5)&amp;" dmg. Et hug pr. runde det fremkaldes eller flyttes. Ellers som din BAB + Wis bonus. Hugger fra din vinkel, dvs. ikke flank. Magisk våben i f.t. dmg.reducktion. Returnerer til dig, hvis det kommer uden range/syne. Flyttes til nyt mål med move action."</f>
        <v>Fremkalder svævende våben* der giver 1d8+1 dmg. Et hug pr. runde det fremkaldes eller flyttes. Ellers som din BAB + Wis bonus. Hugger fra din vinkel, dvs. ikke flank. Magisk våben i f.t. dmg.reducktion. Returnerer til dig, hvis det kommer uden range/syne. Flyttes til nyt mål med move action.</v>
      </c>
      <c r="F62" s="505" t="s">
        <v>417</v>
      </c>
      <c r="G62" s="249" t="s">
        <v>355</v>
      </c>
      <c r="H62" s="249" t="s">
        <v>91</v>
      </c>
      <c r="I62" s="249" t="s">
        <v>411</v>
      </c>
      <c r="J62" s="261" t="str">
        <f>100+10*Class1_lvl&amp;" f."</f>
        <v>130 f.</v>
      </c>
      <c r="K62" s="266" t="s">
        <v>336</v>
      </c>
      <c r="L62" s="261" t="str">
        <f>Class1_lvl&amp;" rnd. (D)"</f>
        <v>3 rnd. (D)</v>
      </c>
      <c r="M62" s="254" t="s">
        <v>92</v>
      </c>
      <c r="N62" s="261" t="str">
        <f>"d20 + "&amp;Class1_lvl</f>
        <v>d20 + 3</v>
      </c>
      <c r="O62" s="258" t="str">
        <f t="shared" si="6"/>
        <v>rul 8+dmg</v>
      </c>
      <c r="P62" s="258" t="str">
        <f t="shared" si="7"/>
        <v>rul 13</v>
      </c>
      <c r="Q62" s="249" t="s">
        <v>416</v>
      </c>
      <c r="R62" s="249" t="s">
        <v>417</v>
      </c>
      <c r="S62" s="249" t="s">
        <v>1183</v>
      </c>
      <c r="T62" s="254"/>
      <c r="U62" s="235"/>
      <c r="V62" s="235"/>
      <c r="W62" s="235"/>
      <c r="X62" s="239"/>
      <c r="Y62" s="235"/>
      <c r="Z62" s="235"/>
      <c r="AA62" s="235"/>
    </row>
    <row r="63" spans="1:27" s="221" customFormat="1" ht="24">
      <c r="A63" s="255">
        <v>2</v>
      </c>
      <c r="B63" s="230" t="s">
        <v>728</v>
      </c>
      <c r="C63" s="522"/>
      <c r="D63" s="524"/>
      <c r="E63" s="229" t="s">
        <v>93</v>
      </c>
      <c r="F63" s="263" t="s">
        <v>336</v>
      </c>
      <c r="G63" s="250" t="s">
        <v>342</v>
      </c>
      <c r="H63" s="250" t="s">
        <v>94</v>
      </c>
      <c r="I63" s="250" t="s">
        <v>411</v>
      </c>
      <c r="J63" s="250" t="s">
        <v>413</v>
      </c>
      <c r="K63" s="262" t="str">
        <f>FLOOR(Class1_lvl/3,1)&amp;" levende creat."</f>
        <v>1 levende creat.</v>
      </c>
      <c r="L63" s="262" t="str">
        <f>Class1_lvl&amp;" timer"</f>
        <v>3 timer</v>
      </c>
      <c r="M63" s="262" t="str">
        <f>"(Will DC "&amp;10+A63+wismod&amp;" negate)"</f>
        <v>(Will DC 16 negate)</v>
      </c>
      <c r="N63" s="262" t="str">
        <f>"(d20 + "&amp;Class1_lvl&amp;")"</f>
        <v>(d20 + 3)</v>
      </c>
      <c r="O63" s="414" t="str">
        <f t="shared" si="6"/>
        <v>rul 8+dmg</v>
      </c>
      <c r="P63" s="414" t="str">
        <f t="shared" si="7"/>
        <v>rul 13</v>
      </c>
      <c r="Q63" s="250" t="s">
        <v>416</v>
      </c>
      <c r="R63" s="250" t="s">
        <v>417</v>
      </c>
      <c r="S63" s="257"/>
      <c r="T63" s="255"/>
      <c r="U63" s="229"/>
      <c r="V63" s="229"/>
      <c r="W63" s="229"/>
      <c r="X63" s="231"/>
      <c r="Y63" s="229"/>
      <c r="Z63" s="229"/>
      <c r="AA63" s="229"/>
    </row>
    <row r="64" spans="1:27" s="237" customFormat="1" ht="24">
      <c r="A64" s="254">
        <v>2</v>
      </c>
      <c r="B64" s="238" t="s">
        <v>729</v>
      </c>
      <c r="C64" s="521"/>
      <c r="D64" s="521"/>
      <c r="E64" s="235" t="s">
        <v>149</v>
      </c>
      <c r="F64" s="254" t="s">
        <v>138</v>
      </c>
      <c r="G64" s="249" t="s">
        <v>1173</v>
      </c>
      <c r="H64" s="249" t="s">
        <v>95</v>
      </c>
      <c r="I64" s="249" t="s">
        <v>428</v>
      </c>
      <c r="J64" s="261" t="str">
        <f>25+5*(Class1_lvl/2)&amp;" f."</f>
        <v>32,5 f.</v>
      </c>
      <c r="K64" s="249" t="s">
        <v>96</v>
      </c>
      <c r="L64" s="261" t="str">
        <f>Class1_lvl&amp;" rnd. (D)"</f>
        <v>3 rnd. (D)</v>
      </c>
      <c r="M64" s="254" t="s">
        <v>427</v>
      </c>
      <c r="N64" s="254" t="s">
        <v>427</v>
      </c>
      <c r="O64" s="258" t="str">
        <f t="shared" si="6"/>
        <v>rul 8+dmg</v>
      </c>
      <c r="P64" s="258" t="str">
        <f t="shared" si="7"/>
        <v>rul 13</v>
      </c>
      <c r="Q64" s="249" t="s">
        <v>416</v>
      </c>
      <c r="R64" s="249" t="s">
        <v>417</v>
      </c>
      <c r="S64" s="249" t="s">
        <v>1183</v>
      </c>
      <c r="T64" s="254"/>
      <c r="U64" s="235"/>
      <c r="V64" s="235"/>
      <c r="W64" s="235"/>
      <c r="X64" s="239"/>
      <c r="Y64" s="235"/>
      <c r="Z64" s="235"/>
      <c r="AA64" s="235"/>
    </row>
    <row r="65" spans="1:27" s="221" customFormat="1" ht="24">
      <c r="A65" s="255">
        <v>2</v>
      </c>
      <c r="B65" s="230" t="s">
        <v>730</v>
      </c>
      <c r="C65" s="522"/>
      <c r="D65" s="524"/>
      <c r="E65" s="229" t="s">
        <v>97</v>
      </c>
      <c r="F65" s="263" t="s">
        <v>336</v>
      </c>
      <c r="G65" s="250" t="s">
        <v>378</v>
      </c>
      <c r="H65" s="250" t="s">
        <v>98</v>
      </c>
      <c r="I65" s="250" t="s">
        <v>411</v>
      </c>
      <c r="J65" s="262" t="str">
        <f>25+5*(Class1_lvl/2)&amp;" f."</f>
        <v>32,5 f.</v>
      </c>
      <c r="K65" s="250" t="s">
        <v>99</v>
      </c>
      <c r="L65" s="250" t="s">
        <v>1208</v>
      </c>
      <c r="M65" s="262" t="str">
        <f>"(Will DC "&amp;10+A65+wismod&amp;" negate)"</f>
        <v>(Will DC 16 negate)</v>
      </c>
      <c r="N65" s="262" t="str">
        <f>"(d20 + "&amp;Class1_lvl&amp;")"</f>
        <v>(d20 + 3)</v>
      </c>
      <c r="O65" s="414" t="str">
        <f t="shared" si="6"/>
        <v>rul 8+dmg</v>
      </c>
      <c r="P65" s="414" t="str">
        <f t="shared" si="7"/>
        <v>rul 13</v>
      </c>
      <c r="Q65" s="250" t="s">
        <v>416</v>
      </c>
      <c r="R65" s="250" t="s">
        <v>417</v>
      </c>
      <c r="S65" s="257"/>
      <c r="T65" s="255"/>
      <c r="U65" s="229"/>
      <c r="V65" s="229"/>
      <c r="W65" s="229"/>
      <c r="X65" s="231"/>
      <c r="Y65" s="229"/>
      <c r="Z65" s="229"/>
      <c r="AA65" s="229"/>
    </row>
    <row r="66" spans="1:27" s="237" customFormat="1" ht="15">
      <c r="A66" s="254">
        <v>2</v>
      </c>
      <c r="B66" s="238" t="s">
        <v>731</v>
      </c>
      <c r="C66" s="521"/>
      <c r="D66" s="521"/>
      <c r="E66" s="235" t="s">
        <v>100</v>
      </c>
      <c r="F66" s="254" t="s">
        <v>1188</v>
      </c>
      <c r="G66" s="249" t="s">
        <v>354</v>
      </c>
      <c r="H66" s="249" t="s">
        <v>101</v>
      </c>
      <c r="I66" s="249" t="s">
        <v>411</v>
      </c>
      <c r="J66" s="261" t="str">
        <f>25+5*(Class1_lvl/2)&amp;" f."</f>
        <v>32,5 f.</v>
      </c>
      <c r="K66" s="249" t="s">
        <v>48</v>
      </c>
      <c r="L66" s="261" t="str">
        <f>Class1_lvl&amp;" min."</f>
        <v>3 min.</v>
      </c>
      <c r="M66" s="261" t="str">
        <f>"Will DC "&amp;10+A66+wismod&amp;" negate"</f>
        <v>Will DC 16 negate</v>
      </c>
      <c r="N66" s="261" t="str">
        <f>"d20 + "&amp;Class1_lvl</f>
        <v>d20 + 3</v>
      </c>
      <c r="O66" s="258" t="str">
        <f t="shared" si="6"/>
        <v>rul 8+dmg</v>
      </c>
      <c r="P66" s="258" t="str">
        <f t="shared" si="7"/>
        <v>rul 13</v>
      </c>
      <c r="Q66" s="249" t="s">
        <v>416</v>
      </c>
      <c r="R66" s="249" t="s">
        <v>417</v>
      </c>
      <c r="S66" s="249" t="s">
        <v>1183</v>
      </c>
      <c r="T66" s="254"/>
      <c r="U66" s="235"/>
      <c r="V66" s="235"/>
      <c r="W66" s="235"/>
      <c r="X66" s="239"/>
      <c r="Y66" s="235"/>
      <c r="Z66" s="235"/>
      <c r="AA66" s="235"/>
    </row>
    <row r="67" spans="1:27" s="534" customFormat="1" ht="15">
      <c r="A67" s="528"/>
      <c r="B67" s="529"/>
      <c r="C67" s="409"/>
      <c r="D67" s="410"/>
      <c r="E67" s="530"/>
      <c r="F67" s="528"/>
      <c r="G67" s="531"/>
      <c r="H67" s="531"/>
      <c r="I67" s="531"/>
      <c r="J67" s="531"/>
      <c r="K67" s="531"/>
      <c r="L67" s="531"/>
      <c r="M67" s="528"/>
      <c r="N67" s="528"/>
      <c r="O67" s="532"/>
      <c r="P67" s="532"/>
      <c r="Q67" s="528"/>
      <c r="R67" s="528"/>
      <c r="S67" s="528"/>
      <c r="T67" s="528"/>
      <c r="U67" s="530"/>
      <c r="V67" s="530"/>
      <c r="W67" s="530"/>
      <c r="X67" s="533"/>
      <c r="Y67" s="530"/>
      <c r="Z67" s="530"/>
      <c r="AA67" s="530"/>
    </row>
    <row r="68" spans="1:27" s="221" customFormat="1" ht="15">
      <c r="A68" s="528"/>
      <c r="B68" s="529"/>
      <c r="C68" s="409"/>
      <c r="D68" s="410"/>
      <c r="E68" s="229"/>
      <c r="F68" s="255"/>
      <c r="G68" s="250"/>
      <c r="H68" s="250"/>
      <c r="I68" s="250"/>
      <c r="J68" s="250"/>
      <c r="K68" s="250"/>
      <c r="L68" s="250"/>
      <c r="M68" s="255"/>
      <c r="N68" s="255"/>
      <c r="O68" s="532"/>
      <c r="P68" s="532"/>
      <c r="Q68" s="255"/>
      <c r="R68" s="255"/>
      <c r="S68" s="255"/>
      <c r="T68" s="255"/>
      <c r="U68" s="229"/>
      <c r="V68" s="229"/>
      <c r="W68" s="229"/>
      <c r="X68" s="231"/>
      <c r="Y68" s="229"/>
      <c r="Z68" s="229"/>
      <c r="AA68" s="229"/>
    </row>
    <row r="69" spans="1:27" s="221" customFormat="1" ht="15">
      <c r="A69" s="254"/>
      <c r="B69" s="238"/>
      <c r="C69" s="409"/>
      <c r="D69" s="410"/>
      <c r="E69" s="229"/>
      <c r="F69" s="255"/>
      <c r="G69" s="250"/>
      <c r="H69" s="250"/>
      <c r="I69" s="250"/>
      <c r="J69" s="250"/>
      <c r="K69" s="250"/>
      <c r="L69" s="250"/>
      <c r="M69" s="255"/>
      <c r="N69" s="255"/>
      <c r="O69" s="532"/>
      <c r="P69" s="532"/>
      <c r="Q69" s="255"/>
      <c r="R69" s="255"/>
      <c r="S69" s="255"/>
      <c r="T69" s="255"/>
      <c r="U69" s="229"/>
      <c r="V69" s="229"/>
      <c r="W69" s="229"/>
      <c r="X69" s="231"/>
      <c r="Y69" s="229"/>
      <c r="Z69" s="229"/>
      <c r="AA69" s="229"/>
    </row>
    <row r="70" spans="1:27" s="221" customFormat="1" ht="15">
      <c r="A70" s="254"/>
      <c r="B70" s="238"/>
      <c r="C70" s="409"/>
      <c r="D70" s="410"/>
      <c r="E70" s="229"/>
      <c r="F70" s="255"/>
      <c r="G70" s="250"/>
      <c r="H70" s="250"/>
      <c r="I70" s="250"/>
      <c r="J70" s="250"/>
      <c r="K70" s="250"/>
      <c r="L70" s="250"/>
      <c r="M70" s="255"/>
      <c r="N70" s="255"/>
      <c r="O70" s="532"/>
      <c r="P70" s="532"/>
      <c r="Q70" s="255"/>
      <c r="R70" s="255"/>
      <c r="S70" s="255"/>
      <c r="T70" s="255"/>
      <c r="U70" s="229"/>
      <c r="V70" s="229"/>
      <c r="W70" s="229"/>
      <c r="X70" s="231"/>
      <c r="Y70" s="229"/>
      <c r="Z70" s="229"/>
      <c r="AA70" s="229"/>
    </row>
    <row r="71" spans="1:27" s="221" customFormat="1" ht="15">
      <c r="A71" s="254"/>
      <c r="B71" s="238"/>
      <c r="C71" s="409"/>
      <c r="D71" s="410"/>
      <c r="E71" s="229"/>
      <c r="F71" s="255"/>
      <c r="G71" s="250"/>
      <c r="H71" s="250"/>
      <c r="I71" s="250"/>
      <c r="J71" s="250"/>
      <c r="K71" s="250"/>
      <c r="L71" s="250"/>
      <c r="M71" s="255"/>
      <c r="N71" s="255"/>
      <c r="O71" s="532"/>
      <c r="P71" s="532"/>
      <c r="Q71" s="255"/>
      <c r="R71" s="255"/>
      <c r="S71" s="255"/>
      <c r="T71" s="255"/>
      <c r="U71" s="229"/>
      <c r="V71" s="229"/>
      <c r="W71" s="229"/>
      <c r="X71" s="231"/>
      <c r="Y71" s="229"/>
      <c r="Z71" s="229"/>
      <c r="AA71" s="229"/>
    </row>
    <row r="72" spans="1:27" s="221" customFormat="1" ht="15">
      <c r="A72" s="254"/>
      <c r="B72" s="238"/>
      <c r="C72" s="409"/>
      <c r="D72" s="410"/>
      <c r="E72" s="229"/>
      <c r="F72" s="255"/>
      <c r="G72" s="250"/>
      <c r="H72" s="250"/>
      <c r="I72" s="250"/>
      <c r="J72" s="250"/>
      <c r="K72" s="250"/>
      <c r="L72" s="250"/>
      <c r="M72" s="255"/>
      <c r="N72" s="255"/>
      <c r="O72" s="532"/>
      <c r="P72" s="532"/>
      <c r="Q72" s="255"/>
      <c r="R72" s="255"/>
      <c r="S72" s="255"/>
      <c r="T72" s="255"/>
      <c r="U72" s="229"/>
      <c r="V72" s="229"/>
      <c r="W72" s="229"/>
      <c r="X72" s="231"/>
      <c r="Y72" s="229"/>
      <c r="Z72" s="229"/>
      <c r="AA72" s="229"/>
    </row>
    <row r="73" spans="1:27" s="237" customFormat="1" ht="24">
      <c r="A73" s="254">
        <v>0</v>
      </c>
      <c r="B73" s="238" t="s">
        <v>366</v>
      </c>
      <c r="C73" s="272"/>
      <c r="D73" s="313"/>
      <c r="E73" s="235" t="s">
        <v>433</v>
      </c>
      <c r="F73" s="254"/>
      <c r="G73" s="249" t="s">
        <v>364</v>
      </c>
      <c r="H73" s="249" t="s">
        <v>395</v>
      </c>
      <c r="I73" s="249" t="s">
        <v>411</v>
      </c>
      <c r="J73" s="261" t="str">
        <f>100+10*Class1_lvl&amp;" f."</f>
        <v>130 f.</v>
      </c>
      <c r="K73" s="261" t="str">
        <f>Class1_lvl&amp;" pers."</f>
        <v>3 pers.</v>
      </c>
      <c r="L73" s="261" t="str">
        <f>10*Class1_lvl&amp;" min."</f>
        <v>30 min.</v>
      </c>
      <c r="M73" s="254" t="s">
        <v>427</v>
      </c>
      <c r="N73" s="254" t="s">
        <v>427</v>
      </c>
      <c r="O73" s="258" t="str">
        <f aca="true" t="shared" si="8" ref="O73:O91">"rul "&amp;(10+A73)-skill_con&amp;"+dmg"</f>
        <v>rul 6+dmg</v>
      </c>
      <c r="P73" s="258" t="str">
        <f aca="true" t="shared" si="9" ref="P73:P98">"rul "&amp;(15+A73)-(skill_con)</f>
        <v>rul 11</v>
      </c>
      <c r="Q73" s="254" t="s">
        <v>416</v>
      </c>
      <c r="R73" s="254" t="s">
        <v>417</v>
      </c>
      <c r="S73" s="254" t="s">
        <v>321</v>
      </c>
      <c r="T73" s="249"/>
      <c r="U73" s="235"/>
      <c r="V73" s="235"/>
      <c r="W73" s="235"/>
      <c r="X73" s="239"/>
      <c r="Y73" s="235"/>
      <c r="Z73" s="235"/>
      <c r="AA73" s="235"/>
    </row>
    <row r="74" spans="1:27" s="221" customFormat="1" ht="40.5">
      <c r="A74" s="255">
        <v>0</v>
      </c>
      <c r="B74" s="230" t="s">
        <v>367</v>
      </c>
      <c r="C74" s="272"/>
      <c r="D74" s="313"/>
      <c r="E74" s="229" t="s">
        <v>434</v>
      </c>
      <c r="F74" s="255"/>
      <c r="G74" s="250" t="s">
        <v>364</v>
      </c>
      <c r="H74" s="250" t="s">
        <v>396</v>
      </c>
      <c r="I74" s="250" t="s">
        <v>411</v>
      </c>
      <c r="J74" s="262" t="str">
        <f>25+5*(Class1_lvl/2)&amp;" f."</f>
        <v>32,5 f.</v>
      </c>
      <c r="K74" s="250" t="s">
        <v>435</v>
      </c>
      <c r="L74" s="250" t="s">
        <v>423</v>
      </c>
      <c r="M74" s="262" t="str">
        <f>"(Will DC "&amp;10+A74+wismod&amp;" negate)"</f>
        <v>(Will DC 14 negate)</v>
      </c>
      <c r="N74" s="262" t="str">
        <f>"(d20 + "&amp;Class1_lvl&amp;")"</f>
        <v>(d20 + 3)</v>
      </c>
      <c r="O74" s="258" t="str">
        <f t="shared" si="8"/>
        <v>rul 6+dmg</v>
      </c>
      <c r="P74" s="258" t="str">
        <f t="shared" si="9"/>
        <v>rul 11</v>
      </c>
      <c r="Q74" s="255" t="s">
        <v>416</v>
      </c>
      <c r="R74" s="255" t="s">
        <v>417</v>
      </c>
      <c r="S74" s="255" t="s">
        <v>446</v>
      </c>
      <c r="T74" s="250" t="s">
        <v>445</v>
      </c>
      <c r="U74" s="229"/>
      <c r="V74" s="229"/>
      <c r="W74" s="229"/>
      <c r="X74" s="231"/>
      <c r="Y74" s="229"/>
      <c r="Z74" s="229"/>
      <c r="AA74" s="229"/>
    </row>
    <row r="75" spans="1:27" s="237" customFormat="1" ht="27">
      <c r="A75" s="254">
        <v>0</v>
      </c>
      <c r="B75" s="238" t="s">
        <v>358</v>
      </c>
      <c r="C75" s="272"/>
      <c r="D75" s="313"/>
      <c r="E75" s="235" t="s">
        <v>439</v>
      </c>
      <c r="F75" s="254"/>
      <c r="G75" s="249" t="s">
        <v>359</v>
      </c>
      <c r="H75" s="249" t="s">
        <v>398</v>
      </c>
      <c r="I75" s="249" t="s">
        <v>411</v>
      </c>
      <c r="J75" s="249" t="s">
        <v>440</v>
      </c>
      <c r="K75" s="249" t="s">
        <v>452</v>
      </c>
      <c r="L75" s="249" t="s">
        <v>441</v>
      </c>
      <c r="M75" s="254" t="s">
        <v>427</v>
      </c>
      <c r="N75" s="254" t="s">
        <v>427</v>
      </c>
      <c r="O75" s="258" t="str">
        <f t="shared" si="8"/>
        <v>rul 6+dmg</v>
      </c>
      <c r="P75" s="258" t="str">
        <f t="shared" si="9"/>
        <v>rul 11</v>
      </c>
      <c r="Q75" s="249" t="s">
        <v>416</v>
      </c>
      <c r="R75" s="249" t="s">
        <v>417</v>
      </c>
      <c r="S75" s="256"/>
      <c r="T75" s="249"/>
      <c r="U75" s="235"/>
      <c r="V75" s="235"/>
      <c r="W75" s="235"/>
      <c r="X75" s="239"/>
      <c r="Y75" s="235"/>
      <c r="Z75" s="235"/>
      <c r="AA75" s="235"/>
    </row>
    <row r="76" spans="1:27" s="221" customFormat="1" ht="37.5">
      <c r="A76" s="255">
        <v>0</v>
      </c>
      <c r="B76" s="230" t="s">
        <v>436</v>
      </c>
      <c r="C76" s="272"/>
      <c r="D76" s="313">
        <v>1</v>
      </c>
      <c r="E76" s="229" t="s">
        <v>438</v>
      </c>
      <c r="F76" s="255"/>
      <c r="G76" s="250" t="s">
        <v>359</v>
      </c>
      <c r="H76" s="250" t="s">
        <v>397</v>
      </c>
      <c r="I76" s="250" t="s">
        <v>411</v>
      </c>
      <c r="J76" s="250" t="s">
        <v>431</v>
      </c>
      <c r="K76" s="264" t="s">
        <v>336</v>
      </c>
      <c r="L76" s="250" t="s">
        <v>412</v>
      </c>
      <c r="M76" s="255" t="s">
        <v>480</v>
      </c>
      <c r="N76" s="255" t="s">
        <v>427</v>
      </c>
      <c r="O76" s="258" t="str">
        <f t="shared" si="8"/>
        <v>rul 6+dmg</v>
      </c>
      <c r="P76" s="258" t="str">
        <f t="shared" si="9"/>
        <v>rul 11</v>
      </c>
      <c r="Q76" s="250" t="s">
        <v>416</v>
      </c>
      <c r="R76" s="250" t="s">
        <v>417</v>
      </c>
      <c r="S76" s="257"/>
      <c r="T76" s="250"/>
      <c r="U76" s="229"/>
      <c r="V76" s="229"/>
      <c r="W76" s="229"/>
      <c r="X76" s="231"/>
      <c r="Y76" s="229"/>
      <c r="Z76" s="229"/>
      <c r="AA76" s="229"/>
    </row>
    <row r="77" spans="1:27" s="237" customFormat="1" ht="40.5">
      <c r="A77" s="254">
        <v>1</v>
      </c>
      <c r="B77" s="238" t="s">
        <v>377</v>
      </c>
      <c r="C77" s="272"/>
      <c r="D77" s="313"/>
      <c r="E77" s="235" t="s">
        <v>442</v>
      </c>
      <c r="F77" s="254"/>
      <c r="G77" s="249" t="s">
        <v>378</v>
      </c>
      <c r="H77" s="249" t="s">
        <v>399</v>
      </c>
      <c r="I77" s="249" t="s">
        <v>411</v>
      </c>
      <c r="J77" s="261" t="str">
        <f>25+5*(Class1_lvl/2)&amp;" f."</f>
        <v>32,5 f.</v>
      </c>
      <c r="K77" s="249" t="s">
        <v>443</v>
      </c>
      <c r="L77" s="261" t="str">
        <f>2*Class1_lvl&amp;" timer (D)"</f>
        <v>6 timer (D)</v>
      </c>
      <c r="M77" s="254" t="s">
        <v>427</v>
      </c>
      <c r="N77" s="254" t="s">
        <v>427</v>
      </c>
      <c r="O77" s="258" t="str">
        <f t="shared" si="8"/>
        <v>rul 7+dmg</v>
      </c>
      <c r="P77" s="258" t="str">
        <f t="shared" si="9"/>
        <v>rul 12</v>
      </c>
      <c r="Q77" s="254" t="s">
        <v>416</v>
      </c>
      <c r="R77" s="254" t="s">
        <v>417</v>
      </c>
      <c r="S77" s="254" t="s">
        <v>446</v>
      </c>
      <c r="T77" s="249" t="s">
        <v>444</v>
      </c>
      <c r="U77" s="235"/>
      <c r="V77" s="235"/>
      <c r="W77" s="235"/>
      <c r="X77" s="239"/>
      <c r="Y77" s="235"/>
      <c r="Z77" s="235"/>
      <c r="AA77" s="235"/>
    </row>
    <row r="78" spans="1:27" s="221" customFormat="1" ht="24">
      <c r="A78" s="255">
        <v>1</v>
      </c>
      <c r="B78" s="230" t="s">
        <v>379</v>
      </c>
      <c r="C78" s="272"/>
      <c r="D78" s="313"/>
      <c r="E78" s="229" t="s">
        <v>447</v>
      </c>
      <c r="F78" s="255"/>
      <c r="G78" s="250" t="s">
        <v>378</v>
      </c>
      <c r="H78" s="250" t="s">
        <v>400</v>
      </c>
      <c r="I78" s="250" t="s">
        <v>411</v>
      </c>
      <c r="J78" s="250" t="s">
        <v>425</v>
      </c>
      <c r="K78" s="250" t="s">
        <v>426</v>
      </c>
      <c r="L78" s="262" t="str">
        <f>Class1_lvl&amp;" min."</f>
        <v>3 min.</v>
      </c>
      <c r="M78" s="263" t="s">
        <v>336</v>
      </c>
      <c r="N78" s="265" t="s">
        <v>336</v>
      </c>
      <c r="O78" s="258" t="str">
        <f t="shared" si="8"/>
        <v>rul 7+dmg</v>
      </c>
      <c r="P78" s="258" t="str">
        <f t="shared" si="9"/>
        <v>rul 12</v>
      </c>
      <c r="Q78" s="255" t="s">
        <v>416</v>
      </c>
      <c r="R78" s="255" t="s">
        <v>417</v>
      </c>
      <c r="S78" s="255" t="s">
        <v>321</v>
      </c>
      <c r="T78" s="250"/>
      <c r="U78" s="229"/>
      <c r="V78" s="229"/>
      <c r="W78" s="229"/>
      <c r="X78" s="231"/>
      <c r="Y78" s="229"/>
      <c r="Z78" s="229"/>
      <c r="AA78" s="229"/>
    </row>
    <row r="79" spans="1:27" s="237" customFormat="1" ht="27">
      <c r="A79" s="443">
        <v>1</v>
      </c>
      <c r="B79" s="279" t="s">
        <v>485</v>
      </c>
      <c r="C79" s="272"/>
      <c r="D79" s="313"/>
      <c r="E79" s="235" t="s">
        <v>448</v>
      </c>
      <c r="F79" s="254"/>
      <c r="G79" s="278" t="s">
        <v>342</v>
      </c>
      <c r="H79" s="249" t="s">
        <v>401</v>
      </c>
      <c r="I79" s="249" t="s">
        <v>412</v>
      </c>
      <c r="J79" s="249" t="s">
        <v>413</v>
      </c>
      <c r="K79" s="249" t="s">
        <v>420</v>
      </c>
      <c r="L79" s="249" t="s">
        <v>423</v>
      </c>
      <c r="M79" s="254" t="s">
        <v>427</v>
      </c>
      <c r="N79" s="254" t="s">
        <v>427</v>
      </c>
      <c r="O79" s="258" t="str">
        <f t="shared" si="8"/>
        <v>rul 7+dmg</v>
      </c>
      <c r="P79" s="258" t="str">
        <f t="shared" si="9"/>
        <v>rul 12</v>
      </c>
      <c r="Q79" s="254" t="s">
        <v>416</v>
      </c>
      <c r="R79" s="254" t="s">
        <v>417</v>
      </c>
      <c r="S79" s="254" t="s">
        <v>321</v>
      </c>
      <c r="T79" s="249" t="s">
        <v>449</v>
      </c>
      <c r="U79" s="235"/>
      <c r="V79" s="235"/>
      <c r="W79" s="235"/>
      <c r="X79" s="239"/>
      <c r="Y79" s="235"/>
      <c r="Z79" s="235"/>
      <c r="AA79" s="235"/>
    </row>
    <row r="80" spans="1:27" s="221" customFormat="1" ht="24">
      <c r="A80" s="255">
        <v>1</v>
      </c>
      <c r="B80" s="230" t="s">
        <v>374</v>
      </c>
      <c r="C80" s="272"/>
      <c r="D80" s="313">
        <v>1</v>
      </c>
      <c r="E80" s="229" t="s">
        <v>451</v>
      </c>
      <c r="F80" s="255"/>
      <c r="G80" s="250" t="s">
        <v>354</v>
      </c>
      <c r="H80" s="250" t="s">
        <v>402</v>
      </c>
      <c r="I80" s="250" t="s">
        <v>411</v>
      </c>
      <c r="J80" s="250"/>
      <c r="K80" s="250" t="s">
        <v>454</v>
      </c>
      <c r="L80" s="262" t="str">
        <f>Class1_lvl&amp;" timer"</f>
        <v>3 timer</v>
      </c>
      <c r="M80" s="262" t="str">
        <f>"Will DC "&amp;10+A80+wismod&amp;" negate"</f>
        <v>Will DC 15 negate</v>
      </c>
      <c r="N80" s="262" t="str">
        <f>"d20 + "&amp;Class1_lvl</f>
        <v>d20 + 3</v>
      </c>
      <c r="O80" s="258" t="str">
        <f t="shared" si="8"/>
        <v>rul 7+dmg</v>
      </c>
      <c r="P80" s="258" t="str">
        <f t="shared" si="9"/>
        <v>rul 12</v>
      </c>
      <c r="Q80" s="250" t="s">
        <v>416</v>
      </c>
      <c r="R80" s="250" t="s">
        <v>417</v>
      </c>
      <c r="S80" s="257"/>
      <c r="T80" s="250"/>
      <c r="U80" s="229"/>
      <c r="V80" s="229"/>
      <c r="W80" s="229"/>
      <c r="X80" s="231"/>
      <c r="Y80" s="229"/>
      <c r="Z80" s="229"/>
      <c r="AA80" s="229"/>
    </row>
    <row r="81" spans="1:27" s="237" customFormat="1" ht="48">
      <c r="A81" s="254">
        <v>1</v>
      </c>
      <c r="B81" s="238" t="s">
        <v>368</v>
      </c>
      <c r="C81" s="272"/>
      <c r="D81" s="313"/>
      <c r="E81" s="235" t="s">
        <v>472</v>
      </c>
      <c r="F81" s="254"/>
      <c r="G81" s="249" t="s">
        <v>355</v>
      </c>
      <c r="H81" s="249" t="s">
        <v>470</v>
      </c>
      <c r="I81" s="249" t="s">
        <v>411</v>
      </c>
      <c r="J81" s="261" t="str">
        <f>100+10*Class1_lvl&amp;" f."</f>
        <v>130 f.</v>
      </c>
      <c r="K81" s="249" t="s">
        <v>414</v>
      </c>
      <c r="L81" s="249" t="s">
        <v>423</v>
      </c>
      <c r="M81" s="261" t="str">
        <f>"Fort DC "&amp;10+A81+wismod&amp;" partial"</f>
        <v>Fort DC 15 partial</v>
      </c>
      <c r="N81" s="261" t="str">
        <f>"d20 + "&amp;Class1_lvl</f>
        <v>d20 + 3</v>
      </c>
      <c r="O81" s="258" t="str">
        <f t="shared" si="8"/>
        <v>rul 7+dmg</v>
      </c>
      <c r="P81" s="258" t="str">
        <f t="shared" si="9"/>
        <v>rul 12</v>
      </c>
      <c r="Q81" s="249" t="s">
        <v>416</v>
      </c>
      <c r="R81" s="249" t="s">
        <v>417</v>
      </c>
      <c r="S81" s="249" t="s">
        <v>446</v>
      </c>
      <c r="T81" s="249" t="s">
        <v>471</v>
      </c>
      <c r="U81" s="235" t="s">
        <v>501</v>
      </c>
      <c r="V81" s="235"/>
      <c r="W81" s="235"/>
      <c r="X81" s="239"/>
      <c r="Y81" s="235"/>
      <c r="Z81" s="235"/>
      <c r="AA81" s="235"/>
    </row>
    <row r="82" spans="1:27" s="221" customFormat="1" ht="27">
      <c r="A82" s="255">
        <v>1</v>
      </c>
      <c r="B82" s="230" t="s">
        <v>371</v>
      </c>
      <c r="C82" s="272"/>
      <c r="D82" s="313">
        <v>1</v>
      </c>
      <c r="E82" s="232" t="str">
        <f>IF(CEILING(Class1_lvl/2,1)&gt;5,5,CEILING(Class1_lvl/2,1))&amp;" energistråler mod en-flere. 1d6 force-dmg pr. stråle"</f>
        <v>2 energistråler mod en-flere. 1d6 force-dmg pr. stråle</v>
      </c>
      <c r="F82" s="255"/>
      <c r="G82" s="250" t="s">
        <v>355</v>
      </c>
      <c r="H82" s="250" t="s">
        <v>403</v>
      </c>
      <c r="I82" s="250" t="s">
        <v>411</v>
      </c>
      <c r="J82" s="262" t="str">
        <f>100+10*Class1_lvl&amp;" f."</f>
        <v>130 f.</v>
      </c>
      <c r="K82" s="255" t="s">
        <v>450</v>
      </c>
      <c r="L82" s="250" t="s">
        <v>423</v>
      </c>
      <c r="M82" s="255" t="s">
        <v>427</v>
      </c>
      <c r="N82" s="262" t="str">
        <f>"d20 + "&amp;Class1_lvl</f>
        <v>d20 + 3</v>
      </c>
      <c r="O82" s="258" t="str">
        <f t="shared" si="8"/>
        <v>rul 7+dmg</v>
      </c>
      <c r="P82" s="258" t="str">
        <f t="shared" si="9"/>
        <v>rul 12</v>
      </c>
      <c r="Q82" s="250" t="s">
        <v>416</v>
      </c>
      <c r="R82" s="250" t="s">
        <v>417</v>
      </c>
      <c r="S82" s="257"/>
      <c r="T82" s="250"/>
      <c r="U82" s="229" t="s">
        <v>500</v>
      </c>
      <c r="V82" s="229"/>
      <c r="W82" s="229"/>
      <c r="X82" s="231"/>
      <c r="Y82" s="229"/>
      <c r="Z82" s="229"/>
      <c r="AA82" s="229"/>
    </row>
    <row r="83" spans="1:27" s="237" customFormat="1" ht="40.5">
      <c r="A83" s="254">
        <v>1</v>
      </c>
      <c r="B83" s="238" t="s">
        <v>369</v>
      </c>
      <c r="C83" s="272"/>
      <c r="D83" s="313"/>
      <c r="E83" s="240" t="str">
        <f>"En kniv af force der angriber en fjende. På din tur, +"&amp;0.5*wismod&amp;" att.,  1d4 dmg (crit. 19-20/2). Flanker hvis flere venner slås. Skifte fjende kræver 1 st.act. Kniven har AC 14 og 1 hp. Spellresist. checkes kun når remsen kastes."</f>
        <v>En kniv af force der angriber en fjende. På din tur, +2 att.,  1d4 dmg (crit. 19-20/2). Flanker hvis flere venner slås. Skifte fjende kræver 1 st.act. Kniven har AC 14 og 1 hp. Spellresist. checkes kun når remsen kastes.</v>
      </c>
      <c r="F83" s="254"/>
      <c r="G83" s="249" t="s">
        <v>355</v>
      </c>
      <c r="H83" s="249" t="s">
        <v>477</v>
      </c>
      <c r="I83" s="249" t="s">
        <v>411</v>
      </c>
      <c r="J83" s="261" t="str">
        <f>25+5*(Class1_lvl/2)&amp;" f."</f>
        <v>32,5 f.</v>
      </c>
      <c r="K83" s="266" t="s">
        <v>336</v>
      </c>
      <c r="L83" s="261" t="str">
        <f>0.5*Class1_lvl&amp;" rnd."</f>
        <v>1,5 rnd.</v>
      </c>
      <c r="M83" s="254" t="s">
        <v>427</v>
      </c>
      <c r="N83" s="261" t="str">
        <f>"d20 + "&amp;Class1_lvl</f>
        <v>d20 + 3</v>
      </c>
      <c r="O83" s="258" t="str">
        <f t="shared" si="8"/>
        <v>rul 7+dmg</v>
      </c>
      <c r="P83" s="258" t="str">
        <f t="shared" si="9"/>
        <v>rul 12</v>
      </c>
      <c r="Q83" s="249" t="s">
        <v>416</v>
      </c>
      <c r="R83" s="249" t="s">
        <v>417</v>
      </c>
      <c r="S83" s="249" t="s">
        <v>446</v>
      </c>
      <c r="T83" s="249" t="s">
        <v>478</v>
      </c>
      <c r="U83" s="235"/>
      <c r="V83" s="235"/>
      <c r="W83" s="235"/>
      <c r="X83" s="239"/>
      <c r="Y83" s="235"/>
      <c r="Z83" s="235"/>
      <c r="AA83" s="235"/>
    </row>
    <row r="84" spans="1:27" s="221" customFormat="1" ht="15">
      <c r="A84" s="255">
        <v>1</v>
      </c>
      <c r="B84" s="230" t="s">
        <v>373</v>
      </c>
      <c r="C84" s="272"/>
      <c r="D84" s="313"/>
      <c r="E84" s="232" t="str">
        <f>"Touch-att., "&amp;IF(Class1_lvl&gt;5,5,Class1_lvl)&amp;"d6 elektrisk dmg. Hvis targit har meget metal, da +3 til att."</f>
        <v>Touch-att., 3d6 elektrisk dmg. Hvis targit har meget metal, da +3 til att.</v>
      </c>
      <c r="F84" s="255"/>
      <c r="G84" s="250" t="s">
        <v>355</v>
      </c>
      <c r="H84" s="250" t="s">
        <v>404</v>
      </c>
      <c r="I84" s="250" t="s">
        <v>411</v>
      </c>
      <c r="J84" s="250" t="s">
        <v>413</v>
      </c>
      <c r="K84" s="250" t="s">
        <v>452</v>
      </c>
      <c r="L84" s="250" t="s">
        <v>423</v>
      </c>
      <c r="M84" s="255" t="s">
        <v>427</v>
      </c>
      <c r="N84" s="262" t="str">
        <f>"d20 + "&amp;Class1_lvl</f>
        <v>d20 + 3</v>
      </c>
      <c r="O84" s="258" t="str">
        <f t="shared" si="8"/>
        <v>rul 7+dmg</v>
      </c>
      <c r="P84" s="258" t="str">
        <f t="shared" si="9"/>
        <v>rul 12</v>
      </c>
      <c r="Q84" s="250" t="s">
        <v>416</v>
      </c>
      <c r="R84" s="250" t="s">
        <v>417</v>
      </c>
      <c r="S84" s="257"/>
      <c r="T84" s="250"/>
      <c r="U84" s="229" t="s">
        <v>500</v>
      </c>
      <c r="V84" s="229"/>
      <c r="W84" s="229"/>
      <c r="X84" s="231"/>
      <c r="Y84" s="229"/>
      <c r="Z84" s="229"/>
      <c r="AA84" s="229"/>
    </row>
    <row r="85" spans="1:27" s="237" customFormat="1" ht="24">
      <c r="A85" s="254">
        <v>1</v>
      </c>
      <c r="B85" s="238" t="s">
        <v>386</v>
      </c>
      <c r="C85" s="272"/>
      <c r="D85" s="313"/>
      <c r="E85" s="240" t="str">
        <f>"3 fod disk, 1'' dyb. Bærer "&amp;100*Class1_lvl&amp;" lb, 3 fod over jorden, følger dig v. normal speed, inden for range, normalt 5 fod fra dig"</f>
        <v>3 fod disk, 1'' dyb. Bærer 300 lb, 3 fod over jorden, følger dig v. normal speed, inden for range, normalt 5 fod fra dig</v>
      </c>
      <c r="F85" s="254"/>
      <c r="G85" s="249" t="s">
        <v>355</v>
      </c>
      <c r="H85" s="249" t="s">
        <v>394</v>
      </c>
      <c r="I85" s="249" t="s">
        <v>411</v>
      </c>
      <c r="J85" s="261" t="str">
        <f>25+5*(Class1_lvl/2)&amp;" f."</f>
        <v>32,5 f.</v>
      </c>
      <c r="K85" s="266" t="s">
        <v>336</v>
      </c>
      <c r="L85" s="267"/>
      <c r="M85" s="254" t="s">
        <v>427</v>
      </c>
      <c r="N85" s="254" t="s">
        <v>427</v>
      </c>
      <c r="O85" s="258" t="str">
        <f t="shared" si="8"/>
        <v>rul 7+dmg</v>
      </c>
      <c r="P85" s="258" t="str">
        <f t="shared" si="9"/>
        <v>rul 12</v>
      </c>
      <c r="Q85" s="254" t="s">
        <v>416</v>
      </c>
      <c r="R85" s="254" t="s">
        <v>417</v>
      </c>
      <c r="S85" s="254" t="s">
        <v>321</v>
      </c>
      <c r="T85" s="249"/>
      <c r="U85" s="235"/>
      <c r="V85" s="235"/>
      <c r="W85" s="235"/>
      <c r="X85" s="239"/>
      <c r="Y85" s="235"/>
      <c r="Z85" s="235"/>
      <c r="AA85" s="235"/>
    </row>
    <row r="86" spans="1:27" s="237" customFormat="1" ht="27">
      <c r="A86" s="254">
        <v>1</v>
      </c>
      <c r="B86" s="238" t="s">
        <v>370</v>
      </c>
      <c r="C86" s="272"/>
      <c r="D86" s="313"/>
      <c r="E86" s="235" t="s">
        <v>476</v>
      </c>
      <c r="F86" s="254"/>
      <c r="G86" s="249" t="s">
        <v>364</v>
      </c>
      <c r="H86" s="249" t="s">
        <v>473</v>
      </c>
      <c r="I86" s="249" t="s">
        <v>411</v>
      </c>
      <c r="J86" s="261" t="str">
        <f>400+40*Class1_lvl&amp;" f."</f>
        <v>520 f.</v>
      </c>
      <c r="K86" s="249" t="s">
        <v>475</v>
      </c>
      <c r="L86" s="249" t="s">
        <v>474</v>
      </c>
      <c r="M86" s="254" t="s">
        <v>427</v>
      </c>
      <c r="N86" s="254" t="s">
        <v>427</v>
      </c>
      <c r="O86" s="258" t="str">
        <f t="shared" si="8"/>
        <v>rul 7+dmg</v>
      </c>
      <c r="P86" s="258" t="str">
        <f t="shared" si="9"/>
        <v>rul 12</v>
      </c>
      <c r="Q86" s="256"/>
      <c r="R86" s="249" t="s">
        <v>417</v>
      </c>
      <c r="S86" s="256"/>
      <c r="T86" s="249"/>
      <c r="U86" s="235"/>
      <c r="V86" s="235"/>
      <c r="W86" s="235"/>
      <c r="X86" s="239"/>
      <c r="Y86" s="235"/>
      <c r="Z86" s="235"/>
      <c r="AA86" s="235"/>
    </row>
    <row r="87" spans="1:27" s="221" customFormat="1" ht="27">
      <c r="A87" s="255">
        <v>2</v>
      </c>
      <c r="B87" s="230" t="s">
        <v>385</v>
      </c>
      <c r="C87" s="272"/>
      <c r="D87" s="313"/>
      <c r="E87" s="229" t="s">
        <v>457</v>
      </c>
      <c r="F87" s="255"/>
      <c r="G87" s="250" t="s">
        <v>378</v>
      </c>
      <c r="H87" s="250" t="s">
        <v>406</v>
      </c>
      <c r="I87" s="250" t="s">
        <v>411</v>
      </c>
      <c r="J87" s="250" t="s">
        <v>413</v>
      </c>
      <c r="K87" s="262" t="str">
        <f>"Dør, kiste mv. op til "&amp;30*Class1_lvl&amp;" sq-f."</f>
        <v>Dør, kiste mv. op til 90 sq-f.</v>
      </c>
      <c r="L87" s="250" t="s">
        <v>458</v>
      </c>
      <c r="M87" s="255" t="s">
        <v>427</v>
      </c>
      <c r="N87" s="254" t="s">
        <v>427</v>
      </c>
      <c r="O87" s="258" t="str">
        <f t="shared" si="8"/>
        <v>rul 8+dmg</v>
      </c>
      <c r="P87" s="258" t="str">
        <f t="shared" si="9"/>
        <v>rul 13</v>
      </c>
      <c r="Q87" s="255" t="s">
        <v>416</v>
      </c>
      <c r="R87" s="255" t="s">
        <v>417</v>
      </c>
      <c r="S87" s="249" t="s">
        <v>446</v>
      </c>
      <c r="T87" s="250" t="s">
        <v>459</v>
      </c>
      <c r="U87" s="229"/>
      <c r="V87" s="229"/>
      <c r="W87" s="229"/>
      <c r="X87" s="231"/>
      <c r="Y87" s="229"/>
      <c r="Z87" s="229"/>
      <c r="AA87" s="229"/>
    </row>
    <row r="88" spans="1:27" s="237" customFormat="1" ht="36">
      <c r="A88" s="443">
        <v>2</v>
      </c>
      <c r="B88" s="279" t="s">
        <v>380</v>
      </c>
      <c r="C88" s="272"/>
      <c r="D88" s="313">
        <v>1</v>
      </c>
      <c r="E88" s="235" t="s">
        <v>460</v>
      </c>
      <c r="F88" s="254"/>
      <c r="G88" s="278" t="s">
        <v>342</v>
      </c>
      <c r="H88" s="249" t="s">
        <v>407</v>
      </c>
      <c r="I88" s="249" t="s">
        <v>411</v>
      </c>
      <c r="J88" s="249" t="s">
        <v>461</v>
      </c>
      <c r="K88" s="266" t="s">
        <v>336</v>
      </c>
      <c r="L88" s="261" t="str">
        <f>Class1_lvl&amp;" min."</f>
        <v>3 min.</v>
      </c>
      <c r="M88" s="261" t="str">
        <f>"Will DC "&amp;10+A88+wismod&amp;" negate"</f>
        <v>Will DC 16 negate</v>
      </c>
      <c r="N88" s="254" t="s">
        <v>427</v>
      </c>
      <c r="O88" s="258" t="str">
        <f t="shared" si="8"/>
        <v>rul 8+dmg</v>
      </c>
      <c r="P88" s="258" t="str">
        <f t="shared" si="9"/>
        <v>rul 13</v>
      </c>
      <c r="Q88" s="249" t="s">
        <v>416</v>
      </c>
      <c r="R88" s="249" t="s">
        <v>417</v>
      </c>
      <c r="S88" s="256"/>
      <c r="T88" s="249"/>
      <c r="U88" s="235"/>
      <c r="V88" s="235"/>
      <c r="W88" s="235"/>
      <c r="X88" s="239"/>
      <c r="Y88" s="235"/>
      <c r="Z88" s="235"/>
      <c r="AA88" s="235"/>
    </row>
    <row r="89" spans="1:27" s="237" customFormat="1" ht="27">
      <c r="A89" s="254">
        <v>2</v>
      </c>
      <c r="B89" s="238" t="s">
        <v>381</v>
      </c>
      <c r="C89" s="272"/>
      <c r="D89" s="313">
        <v>1</v>
      </c>
      <c r="E89" s="235" t="s">
        <v>462</v>
      </c>
      <c r="F89" s="254"/>
      <c r="G89" s="249" t="s">
        <v>356</v>
      </c>
      <c r="H89" s="249" t="s">
        <v>408</v>
      </c>
      <c r="I89" s="249" t="s">
        <v>411</v>
      </c>
      <c r="J89" s="249" t="s">
        <v>463</v>
      </c>
      <c r="K89" s="261" t="str">
        <f>"Dig, creat. el. obj. &lt; "&amp;100*Class1_lvl&amp;" lb."</f>
        <v>Dig, creat. el. obj. &lt; 300 lb.</v>
      </c>
      <c r="L89" s="261" t="str">
        <f>Class1_lvl&amp;" min. (D)"</f>
        <v>3 min. (D)</v>
      </c>
      <c r="M89" s="261" t="str">
        <f>"(Will DC "&amp;10+A89+wismod&amp;" negate)"</f>
        <v>(Will DC 16 negate)</v>
      </c>
      <c r="N89" s="261" t="str">
        <f>"(d20 + "&amp;Class1_lvl&amp;")"</f>
        <v>(d20 + 3)</v>
      </c>
      <c r="O89" s="258" t="str">
        <f t="shared" si="8"/>
        <v>rul 8+dmg</v>
      </c>
      <c r="P89" s="258" t="str">
        <f t="shared" si="9"/>
        <v>rul 13</v>
      </c>
      <c r="Q89" s="254" t="s">
        <v>416</v>
      </c>
      <c r="R89" s="254" t="s">
        <v>417</v>
      </c>
      <c r="S89" s="254" t="s">
        <v>321</v>
      </c>
      <c r="T89" s="249"/>
      <c r="U89" s="235"/>
      <c r="V89" s="235"/>
      <c r="W89" s="235"/>
      <c r="X89" s="239"/>
      <c r="Y89" s="235"/>
      <c r="Z89" s="235"/>
      <c r="AA89" s="235"/>
    </row>
    <row r="90" spans="1:27" s="237" customFormat="1" ht="36">
      <c r="A90" s="254">
        <v>2</v>
      </c>
      <c r="B90" s="238" t="s">
        <v>383</v>
      </c>
      <c r="C90" s="272"/>
      <c r="D90" s="313"/>
      <c r="E90" s="235" t="s">
        <v>467</v>
      </c>
      <c r="F90" s="254"/>
      <c r="G90" s="249" t="s">
        <v>364</v>
      </c>
      <c r="H90" s="249" t="s">
        <v>399</v>
      </c>
      <c r="I90" s="249" t="s">
        <v>411</v>
      </c>
      <c r="J90" s="249" t="s">
        <v>425</v>
      </c>
      <c r="K90" s="249" t="s">
        <v>468</v>
      </c>
      <c r="L90" s="261" t="str">
        <f>10*Class1_lvl&amp;" min."</f>
        <v>30 min.</v>
      </c>
      <c r="M90" s="265" t="s">
        <v>336</v>
      </c>
      <c r="N90" s="265" t="s">
        <v>336</v>
      </c>
      <c r="O90" s="258" t="str">
        <f t="shared" si="8"/>
        <v>rul 8+dmg</v>
      </c>
      <c r="P90" s="258" t="str">
        <f t="shared" si="9"/>
        <v>rul 13</v>
      </c>
      <c r="Q90" s="249" t="s">
        <v>416</v>
      </c>
      <c r="R90" s="249" t="s">
        <v>417</v>
      </c>
      <c r="S90" s="256"/>
      <c r="T90" s="249"/>
      <c r="U90" s="235"/>
      <c r="V90" s="235"/>
      <c r="W90" s="235"/>
      <c r="X90" s="239"/>
      <c r="Y90" s="235"/>
      <c r="Z90" s="235"/>
      <c r="AA90" s="235"/>
    </row>
    <row r="91" spans="1:27" s="237" customFormat="1" ht="27">
      <c r="A91" s="254">
        <v>2</v>
      </c>
      <c r="B91" s="238" t="s">
        <v>384</v>
      </c>
      <c r="C91" s="272"/>
      <c r="D91" s="313"/>
      <c r="E91" s="235" t="s">
        <v>469</v>
      </c>
      <c r="F91" s="254"/>
      <c r="G91" s="249" t="s">
        <v>364</v>
      </c>
      <c r="H91" s="249" t="s">
        <v>410</v>
      </c>
      <c r="I91" s="249" t="s">
        <v>411</v>
      </c>
      <c r="J91" s="261" t="str">
        <f>100+10*Class1_lvl&amp;" f."</f>
        <v>130 f.</v>
      </c>
      <c r="K91" s="261" t="str">
        <f>"Dør, kiste mv. op til "&amp;10*Class1_lvl&amp;" sq-f."</f>
        <v>Dør, kiste mv. op til 30 sq-f.</v>
      </c>
      <c r="L91" s="249" t="s">
        <v>423</v>
      </c>
      <c r="M91" s="254" t="s">
        <v>427</v>
      </c>
      <c r="N91" s="254" t="s">
        <v>427</v>
      </c>
      <c r="O91" s="258" t="str">
        <f t="shared" si="8"/>
        <v>rul 8+dmg</v>
      </c>
      <c r="P91" s="258" t="str">
        <f t="shared" si="9"/>
        <v>rul 13</v>
      </c>
      <c r="Q91" s="249" t="s">
        <v>416</v>
      </c>
      <c r="R91" s="256"/>
      <c r="S91" s="256"/>
      <c r="T91" s="249"/>
      <c r="U91" s="235"/>
      <c r="V91" s="235"/>
      <c r="W91" s="235"/>
      <c r="X91" s="239"/>
      <c r="Y91" s="235"/>
      <c r="Z91" s="235"/>
      <c r="AA91" s="235"/>
    </row>
    <row r="92" spans="1:27" s="221" customFormat="1" ht="15">
      <c r="A92" s="255">
        <v>3</v>
      </c>
      <c r="B92" s="230" t="s">
        <v>382</v>
      </c>
      <c r="C92" s="272"/>
      <c r="D92" s="313"/>
      <c r="E92" s="229" t="s">
        <v>464</v>
      </c>
      <c r="F92" s="255"/>
      <c r="G92" s="250" t="s">
        <v>357</v>
      </c>
      <c r="H92" s="250" t="s">
        <v>409</v>
      </c>
      <c r="I92" s="250" t="s">
        <v>411</v>
      </c>
      <c r="J92" s="261" t="str">
        <f>100+10*Class1_lvl&amp;" f."</f>
        <v>130 f.</v>
      </c>
      <c r="K92" s="250" t="s">
        <v>465</v>
      </c>
      <c r="L92" s="250" t="s">
        <v>466</v>
      </c>
      <c r="M92" s="262" t="str">
        <f>"Fort DC "&amp;10+A92+wismod&amp;" negate"</f>
        <v>Fort DC 17 negate</v>
      </c>
      <c r="N92" s="262" t="str">
        <f>"d20 + "&amp;Class1_lvl</f>
        <v>d20 + 3</v>
      </c>
      <c r="O92" s="258" t="str">
        <f>"rul "&amp;(10+A92)-skill_con&amp;"+dmg"</f>
        <v>rul 9+dmg</v>
      </c>
      <c r="P92" s="258" t="str">
        <f>"rul "&amp;(15+A92)-(skill_con)</f>
        <v>rul 14</v>
      </c>
      <c r="Q92" s="250" t="s">
        <v>416</v>
      </c>
      <c r="R92" s="257"/>
      <c r="S92" s="257"/>
      <c r="T92" s="250"/>
      <c r="U92" s="229"/>
      <c r="V92" s="229"/>
      <c r="W92" s="229"/>
      <c r="X92" s="231"/>
      <c r="Y92" s="229"/>
      <c r="Z92" s="229"/>
      <c r="AA92" s="229"/>
    </row>
    <row r="93" spans="1:27" s="237" customFormat="1" ht="48">
      <c r="A93" s="254">
        <v>3</v>
      </c>
      <c r="B93" s="238" t="s">
        <v>487</v>
      </c>
      <c r="C93" s="272"/>
      <c r="D93" s="313"/>
      <c r="E93" s="240" t="str">
        <f>"Dispel-check: d20 + "&amp;Class1_lvl&amp;" (hvad med spellcraft?)
Targit: Obj., creat. el. spell. DC 11+caster lvl., et check pr. spell i gang
Area: Dispel'er 1 spel pr. creat./obj., check strater fra højeste spell
Counterspell: se ph. 170"</f>
        <v>Dispel-check: d20 + 3 (hvad med spellcraft?)
Targit: Obj., creat. el. spell. DC 11+caster lvl., et check pr. spell i gang
Area: Dispel'er 1 spel pr. creat./obj., check strater fra højeste spell
Counterspell: se ph. 170</v>
      </c>
      <c r="F93" s="254"/>
      <c r="G93" s="249" t="s">
        <v>378</v>
      </c>
      <c r="H93" s="249" t="s">
        <v>393</v>
      </c>
      <c r="I93" s="249" t="s">
        <v>411</v>
      </c>
      <c r="J93" s="261" t="str">
        <f>100+10*Class1_lvl&amp;" f."</f>
        <v>130 f.</v>
      </c>
      <c r="K93" s="249" t="s">
        <v>490</v>
      </c>
      <c r="L93" s="249" t="s">
        <v>423</v>
      </c>
      <c r="M93" s="254" t="s">
        <v>427</v>
      </c>
      <c r="N93" s="254" t="s">
        <v>427</v>
      </c>
      <c r="O93" s="258" t="str">
        <f>"rul "&amp;(10+A93)-skill_con&amp;"+dmg"</f>
        <v>rul 9+dmg</v>
      </c>
      <c r="P93" s="258" t="str">
        <f t="shared" si="9"/>
        <v>rul 14</v>
      </c>
      <c r="Q93" s="249" t="s">
        <v>416</v>
      </c>
      <c r="R93" s="249" t="s">
        <v>417</v>
      </c>
      <c r="S93" s="256"/>
      <c r="T93" s="249"/>
      <c r="U93" s="235"/>
      <c r="V93" s="235"/>
      <c r="W93" s="235"/>
      <c r="X93" s="239"/>
      <c r="Y93" s="235"/>
      <c r="Z93" s="235"/>
      <c r="AA93" s="235"/>
    </row>
    <row r="94" spans="1:27" s="237" customFormat="1" ht="27">
      <c r="A94" s="443">
        <v>3</v>
      </c>
      <c r="B94" s="279" t="s">
        <v>488</v>
      </c>
      <c r="C94" s="272"/>
      <c r="D94" s="313"/>
      <c r="E94" s="235" t="s">
        <v>493</v>
      </c>
      <c r="F94" s="254"/>
      <c r="G94" s="278" t="s">
        <v>342</v>
      </c>
      <c r="H94" s="249" t="s">
        <v>402</v>
      </c>
      <c r="I94" s="249" t="s">
        <v>491</v>
      </c>
      <c r="J94" s="261" t="str">
        <f>400+40*Class1_lvl&amp;" f."</f>
        <v>520 f.</v>
      </c>
      <c r="K94" s="293" t="s">
        <v>336</v>
      </c>
      <c r="L94" s="261" t="str">
        <f>Class1_lvl&amp;" min. (D)"</f>
        <v>3 min. (D)</v>
      </c>
      <c r="M94" s="254" t="s">
        <v>427</v>
      </c>
      <c r="N94" s="254" t="s">
        <v>427</v>
      </c>
      <c r="O94" s="258" t="str">
        <f>"rul "&amp;(10+A94)-skill_con&amp;"+dmg"</f>
        <v>rul 9+dmg</v>
      </c>
      <c r="P94" s="258" t="str">
        <f t="shared" si="9"/>
        <v>rul 14</v>
      </c>
      <c r="Q94" s="254" t="s">
        <v>416</v>
      </c>
      <c r="R94" s="254" t="s">
        <v>417</v>
      </c>
      <c r="S94" s="254" t="s">
        <v>446</v>
      </c>
      <c r="T94" s="249" t="s">
        <v>492</v>
      </c>
      <c r="U94" s="235"/>
      <c r="V94" s="235"/>
      <c r="W94" s="235"/>
      <c r="X94" s="239"/>
      <c r="Y94" s="235"/>
      <c r="Z94" s="235"/>
      <c r="AA94" s="235"/>
    </row>
    <row r="95" spans="1:27" s="237" customFormat="1" ht="36">
      <c r="A95" s="254">
        <v>3</v>
      </c>
      <c r="B95" s="238" t="s">
        <v>486</v>
      </c>
      <c r="C95" s="272"/>
      <c r="D95" s="313"/>
      <c r="E95" s="240" t="str">
        <f>"Lille ildkugle sendes til det bestemte sted, hvor den eksploderer i en fireball og gør "&amp;Class1_lvl&amp;"d6 i skade. Rammes noget på vejen detoneres den dér. Alt brændbart bryder i flammer, metal kan smelte mv."</f>
        <v>Lille ildkugle sendes til det bestemte sted, hvor den eksploderer i en fireball og gør 3d6 i skade. Rammes noget på vejen detoneres den dér. Alt brændbart bryder i flammer, metal kan smelte mv.</v>
      </c>
      <c r="F95" s="254"/>
      <c r="G95" s="249" t="s">
        <v>355</v>
      </c>
      <c r="H95" s="249" t="s">
        <v>494</v>
      </c>
      <c r="I95" s="249" t="s">
        <v>411</v>
      </c>
      <c r="J95" s="261" t="str">
        <f>400+40*Class1_lvl&amp;" f."</f>
        <v>520 f.</v>
      </c>
      <c r="K95" s="249" t="s">
        <v>495</v>
      </c>
      <c r="L95" s="249" t="s">
        <v>423</v>
      </c>
      <c r="M95" s="261" t="str">
        <f>"Ref DC "&amp;10+A95+wismod&amp;" half"</f>
        <v>Ref DC 17 half</v>
      </c>
      <c r="N95" s="261" t="str">
        <f>"d20 + "&amp;Class1_lvl</f>
        <v>d20 + 3</v>
      </c>
      <c r="O95" s="258" t="str">
        <f>"rul "&amp;(10+A95)-skill_con&amp;"+dmg"</f>
        <v>rul 9+dmg</v>
      </c>
      <c r="P95" s="258" t="str">
        <f t="shared" si="9"/>
        <v>rul 14</v>
      </c>
      <c r="Q95" s="254" t="s">
        <v>416</v>
      </c>
      <c r="R95" s="254" t="s">
        <v>417</v>
      </c>
      <c r="S95" s="254" t="s">
        <v>321</v>
      </c>
      <c r="T95" s="249"/>
      <c r="U95" s="235" t="s">
        <v>500</v>
      </c>
      <c r="V95" s="235"/>
      <c r="W95" s="235"/>
      <c r="X95" s="239"/>
      <c r="Y95" s="235"/>
      <c r="Z95" s="235"/>
      <c r="AA95" s="235"/>
    </row>
    <row r="96" spans="1:27" s="237" customFormat="1" ht="36">
      <c r="A96" s="254">
        <v>3</v>
      </c>
      <c r="B96" s="238" t="s">
        <v>489</v>
      </c>
      <c r="C96" s="272"/>
      <c r="D96" s="313"/>
      <c r="E96" s="235" t="s">
        <v>498</v>
      </c>
      <c r="F96" s="254"/>
      <c r="G96" s="249" t="s">
        <v>364</v>
      </c>
      <c r="H96" s="249" t="s">
        <v>496</v>
      </c>
      <c r="I96" s="249" t="s">
        <v>411</v>
      </c>
      <c r="J96" s="249" t="s">
        <v>497</v>
      </c>
      <c r="K96" s="249" t="s">
        <v>465</v>
      </c>
      <c r="L96" s="261" t="str">
        <f>2*Class1_lvl&amp;" min (D)"</f>
        <v>6 min (D)</v>
      </c>
      <c r="M96" s="254" t="s">
        <v>427</v>
      </c>
      <c r="N96" s="254" t="s">
        <v>427</v>
      </c>
      <c r="O96" s="258" t="str">
        <f>"rul "&amp;(10+A95)-skill_con&amp;"+dmg"</f>
        <v>rul 9+dmg</v>
      </c>
      <c r="P96" s="258" t="str">
        <f t="shared" si="9"/>
        <v>rul 14</v>
      </c>
      <c r="Q96" s="256"/>
      <c r="R96" s="254" t="s">
        <v>417</v>
      </c>
      <c r="S96" s="254" t="s">
        <v>321</v>
      </c>
      <c r="T96" s="249"/>
      <c r="U96" s="235"/>
      <c r="V96" s="235"/>
      <c r="W96" s="235"/>
      <c r="X96" s="239"/>
      <c r="Y96" s="235"/>
      <c r="Z96" s="235"/>
      <c r="AA96" s="235"/>
    </row>
    <row r="97" spans="1:27" s="237" customFormat="1" ht="15">
      <c r="A97" s="254">
        <v>3</v>
      </c>
      <c r="B97" s="238" t="s">
        <v>518</v>
      </c>
      <c r="C97" s="272"/>
      <c r="D97" s="313"/>
      <c r="E97" s="235" t="s">
        <v>520</v>
      </c>
      <c r="F97" s="254"/>
      <c r="G97" s="249" t="s">
        <v>354</v>
      </c>
      <c r="H97" s="249" t="s">
        <v>519</v>
      </c>
      <c r="I97" s="249" t="s">
        <v>411</v>
      </c>
      <c r="J97" s="261" t="str">
        <f>25+5*(Class1_lvl/2)&amp;" f."</f>
        <v>32,5 f.</v>
      </c>
      <c r="K97" s="249" t="s">
        <v>465</v>
      </c>
      <c r="L97" s="261" t="str">
        <f>Class1_lvl&amp;" timer el. til udført"</f>
        <v>3 timer el. til udført</v>
      </c>
      <c r="M97" s="261" t="str">
        <f>"Will DC "&amp;10+A97+wismod&amp;" negate"</f>
        <v>Will DC 17 negate</v>
      </c>
      <c r="N97" s="261" t="str">
        <f>"d20 + "&amp;Class1_lvl</f>
        <v>d20 + 3</v>
      </c>
      <c r="O97" s="258" t="str">
        <f>"rul "&amp;(10+A97)-skill_con&amp;"+dmg"</f>
        <v>rul 9+dmg</v>
      </c>
      <c r="P97" s="258" t="str">
        <f t="shared" si="9"/>
        <v>rul 14</v>
      </c>
      <c r="Q97" s="254" t="s">
        <v>416</v>
      </c>
      <c r="R97" s="256"/>
      <c r="S97" s="254" t="s">
        <v>321</v>
      </c>
      <c r="T97" s="249"/>
      <c r="U97" s="235"/>
      <c r="V97" s="235"/>
      <c r="W97" s="235"/>
      <c r="X97" s="239"/>
      <c r="Y97" s="235"/>
      <c r="Z97" s="235"/>
      <c r="AA97" s="235"/>
    </row>
    <row r="98" spans="1:27" s="237" customFormat="1" ht="27">
      <c r="A98" s="254">
        <v>3</v>
      </c>
      <c r="B98" s="238" t="s">
        <v>521</v>
      </c>
      <c r="C98" s="272"/>
      <c r="D98" s="313"/>
      <c r="E98" s="235" t="s">
        <v>525</v>
      </c>
      <c r="F98" s="254"/>
      <c r="G98" s="249" t="s">
        <v>378</v>
      </c>
      <c r="H98" s="249" t="s">
        <v>522</v>
      </c>
      <c r="I98" s="249" t="s">
        <v>411</v>
      </c>
      <c r="J98" s="249" t="s">
        <v>413</v>
      </c>
      <c r="K98" s="249" t="s">
        <v>523</v>
      </c>
      <c r="L98" s="249" t="s">
        <v>524</v>
      </c>
      <c r="M98" s="261" t="str">
        <f>"(Ref DC "&amp;10+A98+wismod&amp;" half)"</f>
        <v>(Ref DC 17 half)</v>
      </c>
      <c r="N98" s="261" t="str">
        <f>"d20 + "&amp;Class1_lvl</f>
        <v>d20 + 3</v>
      </c>
      <c r="O98" s="258" t="str">
        <f>"rul "&amp;(10+A98)-skill_con&amp;"+dmg"</f>
        <v>rul 9+dmg</v>
      </c>
      <c r="P98" s="258" t="str">
        <f t="shared" si="9"/>
        <v>rul 14</v>
      </c>
      <c r="Q98" s="254" t="s">
        <v>416</v>
      </c>
      <c r="R98" s="254" t="s">
        <v>417</v>
      </c>
      <c r="S98" s="256"/>
      <c r="T98" s="249"/>
      <c r="U98" s="235" t="s">
        <v>526</v>
      </c>
      <c r="V98" s="235"/>
      <c r="W98" s="235"/>
      <c r="X98" s="239"/>
      <c r="Y98" s="235"/>
      <c r="Z98" s="235"/>
      <c r="AA98" s="235"/>
    </row>
    <row r="99" spans="1:27" s="222" customFormat="1" ht="15">
      <c r="A99" s="268"/>
      <c r="B99" s="218"/>
      <c r="C99" s="273"/>
      <c r="D99" s="312"/>
      <c r="E99" s="220"/>
      <c r="F99" s="268"/>
      <c r="G99" s="251"/>
      <c r="H99" s="251"/>
      <c r="I99" s="251"/>
      <c r="J99" s="251"/>
      <c r="K99" s="251"/>
      <c r="L99" s="268"/>
      <c r="M99" s="268"/>
      <c r="N99" s="268"/>
      <c r="O99" s="280"/>
      <c r="P99" s="219"/>
      <c r="Q99" s="251"/>
      <c r="R99" s="251"/>
      <c r="S99" s="251"/>
      <c r="T99" s="251"/>
      <c r="U99" s="220"/>
      <c r="V99" s="220"/>
      <c r="W99" s="220"/>
      <c r="X99" s="223"/>
      <c r="Y99" s="220"/>
      <c r="Z99" s="220"/>
      <c r="AA99" s="220"/>
    </row>
    <row r="100" spans="1:27" s="222" customFormat="1" ht="15">
      <c r="A100" s="268"/>
      <c r="B100" s="218"/>
      <c r="C100" s="273"/>
      <c r="D100" s="312"/>
      <c r="E100" s="220"/>
      <c r="F100" s="268"/>
      <c r="G100" s="251"/>
      <c r="H100" s="251"/>
      <c r="I100" s="251"/>
      <c r="J100" s="251"/>
      <c r="K100" s="251"/>
      <c r="L100" s="268"/>
      <c r="M100" s="268"/>
      <c r="N100" s="268"/>
      <c r="O100" s="280"/>
      <c r="P100" s="219"/>
      <c r="Q100" s="251"/>
      <c r="R100" s="251"/>
      <c r="S100" s="251"/>
      <c r="T100" s="251"/>
      <c r="U100" s="220"/>
      <c r="V100" s="220"/>
      <c r="W100" s="220"/>
      <c r="X100" s="223"/>
      <c r="Y100" s="220"/>
      <c r="Z100" s="220"/>
      <c r="AA100" s="220"/>
    </row>
    <row r="101" spans="1:27" s="222" customFormat="1" ht="15">
      <c r="A101" s="268"/>
      <c r="B101" s="218"/>
      <c r="C101" s="273"/>
      <c r="D101" s="312"/>
      <c r="E101" s="220"/>
      <c r="F101" s="268"/>
      <c r="G101" s="251"/>
      <c r="H101" s="251"/>
      <c r="I101" s="251"/>
      <c r="J101" s="251"/>
      <c r="K101" s="251"/>
      <c r="L101" s="268"/>
      <c r="M101" s="268"/>
      <c r="N101" s="268"/>
      <c r="O101" s="280"/>
      <c r="P101" s="219"/>
      <c r="Q101" s="251"/>
      <c r="R101" s="251"/>
      <c r="S101" s="251"/>
      <c r="T101" s="251"/>
      <c r="U101" s="220"/>
      <c r="V101" s="220"/>
      <c r="W101" s="220"/>
      <c r="X101" s="223"/>
      <c r="Y101" s="220"/>
      <c r="Z101" s="220"/>
      <c r="AA101" s="220"/>
    </row>
    <row r="102" spans="1:27" s="222" customFormat="1" ht="15">
      <c r="A102" s="268"/>
      <c r="B102" s="218"/>
      <c r="C102" s="273"/>
      <c r="D102" s="312"/>
      <c r="E102" s="220"/>
      <c r="F102" s="268"/>
      <c r="G102" s="251"/>
      <c r="H102" s="251"/>
      <c r="I102" s="251"/>
      <c r="J102" s="251"/>
      <c r="K102" s="251"/>
      <c r="L102" s="251"/>
      <c r="M102" s="268"/>
      <c r="N102" s="268"/>
      <c r="O102" s="219"/>
      <c r="P102" s="219"/>
      <c r="Q102" s="251"/>
      <c r="R102" s="251"/>
      <c r="S102" s="251"/>
      <c r="T102" s="251"/>
      <c r="U102" s="220"/>
      <c r="V102" s="220"/>
      <c r="W102" s="220"/>
      <c r="X102" s="223"/>
      <c r="Y102" s="220"/>
      <c r="Z102" s="220"/>
      <c r="AA102" s="220"/>
    </row>
    <row r="103" spans="1:27" s="222" customFormat="1" ht="15">
      <c r="A103" s="268"/>
      <c r="B103" s="218"/>
      <c r="C103" s="273"/>
      <c r="D103" s="312"/>
      <c r="E103" s="220"/>
      <c r="F103" s="268"/>
      <c r="G103" s="251"/>
      <c r="H103" s="251"/>
      <c r="I103" s="251"/>
      <c r="J103" s="251"/>
      <c r="K103" s="251"/>
      <c r="L103" s="251"/>
      <c r="M103" s="268"/>
      <c r="N103" s="268"/>
      <c r="O103" s="219"/>
      <c r="P103" s="219"/>
      <c r="Q103" s="251"/>
      <c r="R103" s="251"/>
      <c r="S103" s="251"/>
      <c r="T103" s="251"/>
      <c r="U103" s="220"/>
      <c r="V103" s="220"/>
      <c r="W103" s="220"/>
      <c r="X103" s="223"/>
      <c r="Y103" s="220"/>
      <c r="Z103" s="220"/>
      <c r="AA103" s="220"/>
    </row>
    <row r="104" spans="1:27" s="222" customFormat="1" ht="15">
      <c r="A104" s="268"/>
      <c r="B104" s="218"/>
      <c r="C104" s="273"/>
      <c r="D104" s="312"/>
      <c r="E104" s="220"/>
      <c r="F104" s="268"/>
      <c r="G104" s="251"/>
      <c r="H104" s="251"/>
      <c r="I104" s="251"/>
      <c r="J104" s="251"/>
      <c r="K104" s="251"/>
      <c r="L104" s="251"/>
      <c r="M104" s="268"/>
      <c r="N104" s="268"/>
      <c r="O104" s="219"/>
      <c r="P104" s="219"/>
      <c r="Q104" s="251"/>
      <c r="R104" s="251"/>
      <c r="S104" s="251"/>
      <c r="T104" s="251"/>
      <c r="U104" s="220"/>
      <c r="V104" s="220"/>
      <c r="W104" s="220"/>
      <c r="X104" s="223"/>
      <c r="Y104" s="220"/>
      <c r="Z104" s="220"/>
      <c r="AA104" s="220"/>
    </row>
    <row r="105" spans="1:27" s="222" customFormat="1" ht="15">
      <c r="A105" s="268"/>
      <c r="B105" s="218"/>
      <c r="C105" s="273"/>
      <c r="D105" s="312"/>
      <c r="E105" s="220"/>
      <c r="F105" s="268"/>
      <c r="G105" s="251"/>
      <c r="H105" s="251"/>
      <c r="I105" s="251"/>
      <c r="J105" s="251"/>
      <c r="K105" s="251"/>
      <c r="L105" s="251"/>
      <c r="M105" s="268"/>
      <c r="N105" s="268"/>
      <c r="O105" s="219"/>
      <c r="P105" s="219"/>
      <c r="Q105" s="251"/>
      <c r="R105" s="251"/>
      <c r="S105" s="251"/>
      <c r="T105" s="251"/>
      <c r="U105" s="220"/>
      <c r="V105" s="220"/>
      <c r="W105" s="220"/>
      <c r="X105" s="223"/>
      <c r="Y105" s="220"/>
      <c r="Z105" s="220"/>
      <c r="AA105" s="220"/>
    </row>
    <row r="106" spans="1:27" s="222" customFormat="1" ht="15">
      <c r="A106" s="268"/>
      <c r="B106" s="218"/>
      <c r="C106" s="273"/>
      <c r="D106" s="312"/>
      <c r="E106" s="220"/>
      <c r="F106" s="268"/>
      <c r="G106" s="251"/>
      <c r="H106" s="251"/>
      <c r="I106" s="251"/>
      <c r="J106" s="251"/>
      <c r="K106" s="251"/>
      <c r="L106" s="251"/>
      <c r="M106" s="268"/>
      <c r="N106" s="268"/>
      <c r="O106" s="219"/>
      <c r="P106" s="219"/>
      <c r="Q106" s="251"/>
      <c r="R106" s="251"/>
      <c r="S106" s="251"/>
      <c r="T106" s="251"/>
      <c r="U106" s="220"/>
      <c r="V106" s="220"/>
      <c r="W106" s="220"/>
      <c r="X106" s="223"/>
      <c r="Y106" s="220"/>
      <c r="Z106" s="220"/>
      <c r="AA106" s="220"/>
    </row>
    <row r="107" spans="1:27" s="222" customFormat="1" ht="15">
      <c r="A107" s="268"/>
      <c r="B107" s="218"/>
      <c r="C107" s="273"/>
      <c r="D107" s="312"/>
      <c r="E107" s="220"/>
      <c r="F107" s="268"/>
      <c r="G107" s="251"/>
      <c r="H107" s="251"/>
      <c r="I107" s="251"/>
      <c r="J107" s="251"/>
      <c r="K107" s="251"/>
      <c r="L107" s="251"/>
      <c r="M107" s="268"/>
      <c r="N107" s="268"/>
      <c r="O107" s="219"/>
      <c r="P107" s="219"/>
      <c r="Q107" s="251"/>
      <c r="R107" s="251"/>
      <c r="S107" s="251"/>
      <c r="T107" s="251"/>
      <c r="U107" s="220"/>
      <c r="V107" s="220"/>
      <c r="W107" s="220"/>
      <c r="X107" s="223"/>
      <c r="Y107" s="220"/>
      <c r="Z107" s="220"/>
      <c r="AA107" s="220"/>
    </row>
    <row r="108" spans="1:27" s="222" customFormat="1" ht="15">
      <c r="A108" s="268"/>
      <c r="B108" s="218"/>
      <c r="C108" s="273"/>
      <c r="D108" s="312"/>
      <c r="E108" s="220"/>
      <c r="F108" s="268"/>
      <c r="G108" s="251"/>
      <c r="H108" s="251"/>
      <c r="I108" s="251"/>
      <c r="J108" s="251"/>
      <c r="K108" s="251"/>
      <c r="L108" s="251"/>
      <c r="M108" s="268"/>
      <c r="N108" s="268"/>
      <c r="O108" s="219"/>
      <c r="P108" s="219"/>
      <c r="Q108" s="251"/>
      <c r="R108" s="251"/>
      <c r="S108" s="251"/>
      <c r="T108" s="251"/>
      <c r="U108" s="220"/>
      <c r="V108" s="220"/>
      <c r="W108" s="220"/>
      <c r="X108" s="223"/>
      <c r="Y108" s="220"/>
      <c r="Z108" s="220"/>
      <c r="AA108" s="220"/>
    </row>
    <row r="109" spans="1:27" ht="15.75">
      <c r="A109" s="269"/>
      <c r="B109" s="218"/>
      <c r="C109" s="273"/>
      <c r="D109" s="312"/>
      <c r="E109" s="218"/>
      <c r="F109" s="269"/>
      <c r="G109" s="252"/>
      <c r="H109" s="252"/>
      <c r="I109" s="252"/>
      <c r="J109" s="252"/>
      <c r="K109" s="252"/>
      <c r="L109" s="252"/>
      <c r="M109" s="269"/>
      <c r="N109" s="269"/>
      <c r="O109" s="217"/>
      <c r="P109" s="217"/>
      <c r="Q109" s="252"/>
      <c r="R109" s="252"/>
      <c r="S109" s="252"/>
      <c r="T109" s="252"/>
      <c r="U109" s="218"/>
      <c r="V109" s="218"/>
      <c r="W109" s="218"/>
      <c r="X109" s="223"/>
      <c r="Y109" s="218"/>
      <c r="Z109" s="218"/>
      <c r="AA109" s="218"/>
    </row>
    <row r="110" spans="1:27" ht="15.75">
      <c r="A110" s="269"/>
      <c r="B110" s="218"/>
      <c r="C110" s="273"/>
      <c r="D110" s="312"/>
      <c r="E110" s="218"/>
      <c r="F110" s="269"/>
      <c r="G110" s="252"/>
      <c r="H110" s="252"/>
      <c r="I110" s="252"/>
      <c r="J110" s="252"/>
      <c r="K110" s="252"/>
      <c r="L110" s="252"/>
      <c r="M110" s="269"/>
      <c r="N110" s="269"/>
      <c r="O110" s="217"/>
      <c r="P110" s="217"/>
      <c r="Q110" s="252"/>
      <c r="R110" s="252"/>
      <c r="S110" s="252"/>
      <c r="T110" s="252"/>
      <c r="U110" s="218"/>
      <c r="V110" s="218"/>
      <c r="W110" s="218"/>
      <c r="X110" s="223"/>
      <c r="Y110" s="218"/>
      <c r="Z110" s="218"/>
      <c r="AA110" s="218"/>
    </row>
    <row r="111" spans="1:27" ht="15.75">
      <c r="A111" s="269"/>
      <c r="B111" s="218"/>
      <c r="C111" s="273"/>
      <c r="D111" s="312"/>
      <c r="E111" s="218"/>
      <c r="F111" s="269"/>
      <c r="G111" s="252"/>
      <c r="H111" s="252"/>
      <c r="I111" s="252"/>
      <c r="J111" s="252"/>
      <c r="K111" s="252"/>
      <c r="L111" s="252"/>
      <c r="M111" s="269"/>
      <c r="N111" s="269"/>
      <c r="O111" s="217"/>
      <c r="P111" s="217"/>
      <c r="Q111" s="252"/>
      <c r="R111" s="252"/>
      <c r="S111" s="252"/>
      <c r="T111" s="252"/>
      <c r="U111" s="218"/>
      <c r="V111" s="218"/>
      <c r="W111" s="218"/>
      <c r="X111" s="223"/>
      <c r="Y111" s="218"/>
      <c r="Z111" s="218"/>
      <c r="AA111" s="218"/>
    </row>
    <row r="112" spans="1:27" ht="15.75">
      <c r="A112" s="269"/>
      <c r="B112" s="218"/>
      <c r="C112" s="273"/>
      <c r="D112" s="312"/>
      <c r="E112" s="218"/>
      <c r="F112" s="269"/>
      <c r="G112" s="252"/>
      <c r="H112" s="252"/>
      <c r="I112" s="252"/>
      <c r="J112" s="252"/>
      <c r="K112" s="252"/>
      <c r="L112" s="252"/>
      <c r="M112" s="269"/>
      <c r="N112" s="269"/>
      <c r="O112" s="217"/>
      <c r="P112" s="217"/>
      <c r="Q112" s="252"/>
      <c r="R112" s="252"/>
      <c r="S112" s="252"/>
      <c r="T112" s="252"/>
      <c r="U112" s="218"/>
      <c r="V112" s="218"/>
      <c r="W112" s="218"/>
      <c r="X112" s="223"/>
      <c r="Y112" s="218"/>
      <c r="Z112" s="218"/>
      <c r="AA112" s="218"/>
    </row>
    <row r="113" spans="1:27" ht="15.75">
      <c r="A113" s="269"/>
      <c r="B113" s="218"/>
      <c r="C113" s="273"/>
      <c r="D113" s="312"/>
      <c r="E113" s="218"/>
      <c r="F113" s="269"/>
      <c r="G113" s="252"/>
      <c r="H113" s="252"/>
      <c r="I113" s="252"/>
      <c r="J113" s="252"/>
      <c r="K113" s="252"/>
      <c r="L113" s="252"/>
      <c r="M113" s="269"/>
      <c r="N113" s="269"/>
      <c r="O113" s="217"/>
      <c r="P113" s="217"/>
      <c r="Q113" s="252"/>
      <c r="R113" s="252"/>
      <c r="S113" s="252"/>
      <c r="T113" s="252"/>
      <c r="U113" s="218"/>
      <c r="V113" s="218"/>
      <c r="W113" s="218"/>
      <c r="X113" s="223"/>
      <c r="Y113" s="218"/>
      <c r="Z113" s="218"/>
      <c r="AA113" s="218"/>
    </row>
    <row r="114" spans="1:27" ht="15.75">
      <c r="A114" s="269"/>
      <c r="B114" s="218"/>
      <c r="C114" s="273"/>
      <c r="D114" s="312"/>
      <c r="E114" s="218"/>
      <c r="F114" s="269"/>
      <c r="G114" s="252"/>
      <c r="H114" s="252"/>
      <c r="I114" s="252"/>
      <c r="J114" s="252"/>
      <c r="K114" s="252"/>
      <c r="L114" s="252"/>
      <c r="M114" s="269"/>
      <c r="N114" s="269"/>
      <c r="O114" s="217"/>
      <c r="P114" s="217"/>
      <c r="Q114" s="252"/>
      <c r="R114" s="252"/>
      <c r="S114" s="252"/>
      <c r="T114" s="252"/>
      <c r="U114" s="218"/>
      <c r="V114" s="218"/>
      <c r="W114" s="218"/>
      <c r="X114" s="223"/>
      <c r="Y114" s="218"/>
      <c r="Z114" s="218"/>
      <c r="AA114" s="218"/>
    </row>
    <row r="115" spans="1:27" ht="15.75">
      <c r="A115" s="269"/>
      <c r="B115" s="218"/>
      <c r="C115" s="273"/>
      <c r="D115" s="312"/>
      <c r="E115" s="218"/>
      <c r="F115" s="269"/>
      <c r="G115" s="252"/>
      <c r="H115" s="252"/>
      <c r="I115" s="252"/>
      <c r="J115" s="252"/>
      <c r="K115" s="252"/>
      <c r="L115" s="252"/>
      <c r="M115" s="269"/>
      <c r="N115" s="269"/>
      <c r="O115" s="217"/>
      <c r="P115" s="217"/>
      <c r="Q115" s="252"/>
      <c r="R115" s="252"/>
      <c r="S115" s="252"/>
      <c r="T115" s="252"/>
      <c r="U115" s="218"/>
      <c r="V115" s="218"/>
      <c r="W115" s="218"/>
      <c r="X115" s="223"/>
      <c r="Y115" s="218"/>
      <c r="Z115" s="218"/>
      <c r="AA115" s="218"/>
    </row>
    <row r="116" spans="1:27" ht="15.75">
      <c r="A116" s="269"/>
      <c r="B116" s="218"/>
      <c r="C116" s="273"/>
      <c r="D116" s="312"/>
      <c r="E116" s="218"/>
      <c r="F116" s="269"/>
      <c r="G116" s="252"/>
      <c r="H116" s="252"/>
      <c r="I116" s="252"/>
      <c r="J116" s="252"/>
      <c r="K116" s="252"/>
      <c r="L116" s="252"/>
      <c r="M116" s="269"/>
      <c r="N116" s="269"/>
      <c r="O116" s="217"/>
      <c r="P116" s="217"/>
      <c r="Q116" s="252"/>
      <c r="R116" s="252"/>
      <c r="S116" s="252"/>
      <c r="T116" s="252"/>
      <c r="U116" s="218"/>
      <c r="V116" s="218"/>
      <c r="W116" s="218"/>
      <c r="X116" s="223"/>
      <c r="Y116" s="218"/>
      <c r="Z116" s="218"/>
      <c r="AA116" s="218"/>
    </row>
    <row r="117" spans="1:27" ht="15.75">
      <c r="A117" s="269"/>
      <c r="B117" s="218"/>
      <c r="C117" s="273"/>
      <c r="D117" s="312"/>
      <c r="E117" s="218"/>
      <c r="F117" s="269"/>
      <c r="G117" s="252"/>
      <c r="H117" s="252"/>
      <c r="I117" s="252"/>
      <c r="J117" s="252"/>
      <c r="K117" s="252"/>
      <c r="L117" s="252"/>
      <c r="M117" s="269"/>
      <c r="N117" s="269"/>
      <c r="O117" s="217"/>
      <c r="P117" s="217"/>
      <c r="Q117" s="252"/>
      <c r="R117" s="252"/>
      <c r="S117" s="252"/>
      <c r="T117" s="252"/>
      <c r="U117" s="218"/>
      <c r="V117" s="218"/>
      <c r="W117" s="218"/>
      <c r="X117" s="223"/>
      <c r="Y117" s="218"/>
      <c r="Z117" s="218"/>
      <c r="AA117" s="218"/>
    </row>
    <row r="118" spans="1:27" ht="15.75">
      <c r="A118" s="269"/>
      <c r="B118" s="218"/>
      <c r="C118" s="273"/>
      <c r="D118" s="312"/>
      <c r="E118" s="218"/>
      <c r="F118" s="269"/>
      <c r="G118" s="252"/>
      <c r="H118" s="252"/>
      <c r="I118" s="252"/>
      <c r="J118" s="252"/>
      <c r="K118" s="252"/>
      <c r="L118" s="252"/>
      <c r="M118" s="269"/>
      <c r="N118" s="269"/>
      <c r="O118" s="217"/>
      <c r="P118" s="217"/>
      <c r="Q118" s="252"/>
      <c r="R118" s="252"/>
      <c r="S118" s="252"/>
      <c r="T118" s="252"/>
      <c r="U118" s="218"/>
      <c r="V118" s="218"/>
      <c r="W118" s="218"/>
      <c r="X118" s="223"/>
      <c r="Y118" s="218"/>
      <c r="Z118" s="218"/>
      <c r="AA118" s="218"/>
    </row>
    <row r="119" spans="1:27" ht="15.75">
      <c r="A119" s="269"/>
      <c r="B119" s="218"/>
      <c r="C119" s="273"/>
      <c r="D119" s="312"/>
      <c r="E119" s="218"/>
      <c r="F119" s="269"/>
      <c r="G119" s="252"/>
      <c r="H119" s="252"/>
      <c r="I119" s="252"/>
      <c r="J119" s="252"/>
      <c r="K119" s="252"/>
      <c r="L119" s="252"/>
      <c r="M119" s="269"/>
      <c r="N119" s="269"/>
      <c r="O119" s="217"/>
      <c r="P119" s="217"/>
      <c r="Q119" s="252"/>
      <c r="R119" s="252"/>
      <c r="S119" s="252"/>
      <c r="T119" s="252"/>
      <c r="U119" s="218"/>
      <c r="V119" s="218"/>
      <c r="W119" s="218"/>
      <c r="X119" s="223"/>
      <c r="Y119" s="218"/>
      <c r="Z119" s="218"/>
      <c r="AA119" s="218"/>
    </row>
    <row r="120" spans="1:27" ht="15.75">
      <c r="A120" s="269"/>
      <c r="B120" s="218"/>
      <c r="C120" s="273"/>
      <c r="D120" s="312"/>
      <c r="E120" s="218"/>
      <c r="F120" s="269"/>
      <c r="G120" s="252"/>
      <c r="H120" s="252"/>
      <c r="I120" s="252"/>
      <c r="J120" s="252"/>
      <c r="K120" s="252"/>
      <c r="L120" s="252"/>
      <c r="M120" s="269"/>
      <c r="N120" s="269"/>
      <c r="O120" s="217"/>
      <c r="P120" s="217"/>
      <c r="Q120" s="252"/>
      <c r="R120" s="252"/>
      <c r="S120" s="252"/>
      <c r="T120" s="252"/>
      <c r="U120" s="218"/>
      <c r="V120" s="218"/>
      <c r="W120" s="218"/>
      <c r="X120" s="223"/>
      <c r="Y120" s="218"/>
      <c r="Z120" s="218"/>
      <c r="AA120" s="218"/>
    </row>
    <row r="121" spans="1:27" ht="15.75">
      <c r="A121" s="269"/>
      <c r="B121" s="218"/>
      <c r="C121" s="273"/>
      <c r="D121" s="312"/>
      <c r="E121" s="218"/>
      <c r="F121" s="269"/>
      <c r="G121" s="252"/>
      <c r="H121" s="252"/>
      <c r="I121" s="252"/>
      <c r="J121" s="252"/>
      <c r="K121" s="252"/>
      <c r="L121" s="252"/>
      <c r="M121" s="269"/>
      <c r="N121" s="269"/>
      <c r="O121" s="217"/>
      <c r="P121" s="217"/>
      <c r="Q121" s="252"/>
      <c r="R121" s="252"/>
      <c r="S121" s="252"/>
      <c r="T121" s="252"/>
      <c r="U121" s="218"/>
      <c r="V121" s="218"/>
      <c r="W121" s="218"/>
      <c r="X121" s="223"/>
      <c r="Y121" s="218"/>
      <c r="Z121" s="218"/>
      <c r="AA121" s="218"/>
    </row>
    <row r="122" spans="1:27" ht="15.75">
      <c r="A122" s="269"/>
      <c r="B122" s="218"/>
      <c r="C122" s="273"/>
      <c r="D122" s="312"/>
      <c r="E122" s="218"/>
      <c r="F122" s="269"/>
      <c r="G122" s="252"/>
      <c r="H122" s="252"/>
      <c r="I122" s="252"/>
      <c r="J122" s="252"/>
      <c r="K122" s="252"/>
      <c r="L122" s="252"/>
      <c r="M122" s="269"/>
      <c r="N122" s="269"/>
      <c r="O122" s="217"/>
      <c r="P122" s="217"/>
      <c r="Q122" s="252"/>
      <c r="R122" s="252"/>
      <c r="S122" s="252"/>
      <c r="T122" s="252"/>
      <c r="U122" s="218"/>
      <c r="V122" s="218"/>
      <c r="W122" s="218"/>
      <c r="X122" s="223"/>
      <c r="Y122" s="218"/>
      <c r="Z122" s="218"/>
      <c r="AA122" s="218"/>
    </row>
    <row r="123" spans="1:27" ht="15.75">
      <c r="A123" s="269"/>
      <c r="B123" s="218"/>
      <c r="C123" s="273"/>
      <c r="D123" s="312"/>
      <c r="E123" s="218"/>
      <c r="F123" s="269"/>
      <c r="G123" s="252"/>
      <c r="H123" s="252"/>
      <c r="I123" s="252"/>
      <c r="J123" s="252"/>
      <c r="K123" s="252"/>
      <c r="L123" s="252"/>
      <c r="M123" s="269"/>
      <c r="N123" s="269"/>
      <c r="O123" s="217"/>
      <c r="P123" s="217"/>
      <c r="Q123" s="252"/>
      <c r="R123" s="252"/>
      <c r="S123" s="252"/>
      <c r="T123" s="252"/>
      <c r="U123" s="218"/>
      <c r="V123" s="218"/>
      <c r="W123" s="218"/>
      <c r="X123" s="223"/>
      <c r="Y123" s="218"/>
      <c r="Z123" s="218"/>
      <c r="AA123" s="218"/>
    </row>
    <row r="124" spans="1:27" ht="15.75">
      <c r="A124" s="269"/>
      <c r="B124" s="218"/>
      <c r="C124" s="273"/>
      <c r="D124" s="312"/>
      <c r="E124" s="218"/>
      <c r="F124" s="269"/>
      <c r="G124" s="252"/>
      <c r="H124" s="252"/>
      <c r="I124" s="252"/>
      <c r="J124" s="252"/>
      <c r="K124" s="252"/>
      <c r="L124" s="252"/>
      <c r="M124" s="269"/>
      <c r="N124" s="269"/>
      <c r="O124" s="217"/>
      <c r="P124" s="217"/>
      <c r="Q124" s="252"/>
      <c r="R124" s="252"/>
      <c r="S124" s="252"/>
      <c r="T124" s="252"/>
      <c r="U124" s="218"/>
      <c r="V124" s="218"/>
      <c r="W124" s="218"/>
      <c r="X124" s="223"/>
      <c r="Y124" s="218"/>
      <c r="Z124" s="218"/>
      <c r="AA124" s="218"/>
    </row>
    <row r="125" spans="1:27" ht="15.75">
      <c r="A125" s="269"/>
      <c r="B125" s="218"/>
      <c r="C125" s="273"/>
      <c r="D125" s="312"/>
      <c r="E125" s="218"/>
      <c r="F125" s="269"/>
      <c r="G125" s="252"/>
      <c r="H125" s="252"/>
      <c r="I125" s="252"/>
      <c r="J125" s="252"/>
      <c r="K125" s="252"/>
      <c r="L125" s="252"/>
      <c r="M125" s="269"/>
      <c r="N125" s="269"/>
      <c r="O125" s="217"/>
      <c r="P125" s="217"/>
      <c r="Q125" s="252"/>
      <c r="R125" s="252"/>
      <c r="S125" s="252"/>
      <c r="T125" s="252"/>
      <c r="U125" s="218"/>
      <c r="V125" s="218"/>
      <c r="W125" s="218"/>
      <c r="X125" s="223"/>
      <c r="Y125" s="218"/>
      <c r="Z125" s="218"/>
      <c r="AA125" s="218"/>
    </row>
    <row r="126" spans="1:27" ht="15.75">
      <c r="A126" s="269"/>
      <c r="B126" s="218"/>
      <c r="C126" s="273"/>
      <c r="D126" s="312"/>
      <c r="E126" s="218"/>
      <c r="F126" s="269"/>
      <c r="G126" s="252"/>
      <c r="H126" s="252"/>
      <c r="I126" s="252"/>
      <c r="J126" s="252"/>
      <c r="K126" s="252"/>
      <c r="L126" s="252"/>
      <c r="M126" s="269"/>
      <c r="N126" s="269"/>
      <c r="O126" s="217"/>
      <c r="P126" s="217"/>
      <c r="Q126" s="252"/>
      <c r="R126" s="252"/>
      <c r="S126" s="252"/>
      <c r="T126" s="252"/>
      <c r="U126" s="218"/>
      <c r="V126" s="218"/>
      <c r="W126" s="218"/>
      <c r="X126" s="223"/>
      <c r="Y126" s="218"/>
      <c r="Z126" s="218"/>
      <c r="AA126" s="218"/>
    </row>
    <row r="127" spans="1:27" ht="15.75">
      <c r="A127" s="269"/>
      <c r="B127" s="218"/>
      <c r="C127" s="273"/>
      <c r="D127" s="312"/>
      <c r="E127" s="218"/>
      <c r="F127" s="269"/>
      <c r="G127" s="252"/>
      <c r="H127" s="252"/>
      <c r="I127" s="252"/>
      <c r="J127" s="252"/>
      <c r="K127" s="252"/>
      <c r="L127" s="252"/>
      <c r="M127" s="269"/>
      <c r="N127" s="269"/>
      <c r="O127" s="217"/>
      <c r="P127" s="217"/>
      <c r="Q127" s="252"/>
      <c r="R127" s="252"/>
      <c r="S127" s="252"/>
      <c r="T127" s="252"/>
      <c r="U127" s="218"/>
      <c r="V127" s="218"/>
      <c r="W127" s="218"/>
      <c r="X127" s="223"/>
      <c r="Y127" s="218"/>
      <c r="Z127" s="218"/>
      <c r="AA127" s="218"/>
    </row>
    <row r="128" spans="1:27" ht="15.75">
      <c r="A128" s="269"/>
      <c r="B128" s="218"/>
      <c r="C128" s="273"/>
      <c r="D128" s="312"/>
      <c r="E128" s="218"/>
      <c r="F128" s="269"/>
      <c r="G128" s="252"/>
      <c r="H128" s="252"/>
      <c r="I128" s="252"/>
      <c r="J128" s="252"/>
      <c r="K128" s="252"/>
      <c r="L128" s="252"/>
      <c r="M128" s="269"/>
      <c r="N128" s="269"/>
      <c r="O128" s="217"/>
      <c r="P128" s="217"/>
      <c r="Q128" s="252"/>
      <c r="R128" s="252"/>
      <c r="S128" s="252"/>
      <c r="T128" s="252"/>
      <c r="U128" s="218"/>
      <c r="V128" s="218"/>
      <c r="W128" s="218"/>
      <c r="X128" s="223"/>
      <c r="Y128" s="218"/>
      <c r="Z128" s="218"/>
      <c r="AA128" s="218"/>
    </row>
    <row r="129" spans="1:27" ht="15.75">
      <c r="A129" s="269"/>
      <c r="B129" s="218"/>
      <c r="C129" s="273"/>
      <c r="D129" s="312"/>
      <c r="E129" s="218"/>
      <c r="F129" s="269"/>
      <c r="G129" s="252"/>
      <c r="H129" s="252"/>
      <c r="I129" s="252"/>
      <c r="J129" s="252"/>
      <c r="K129" s="252"/>
      <c r="L129" s="252"/>
      <c r="M129" s="269"/>
      <c r="N129" s="269"/>
      <c r="O129" s="217"/>
      <c r="P129" s="217"/>
      <c r="Q129" s="252"/>
      <c r="R129" s="252"/>
      <c r="S129" s="252"/>
      <c r="T129" s="252"/>
      <c r="U129" s="218"/>
      <c r="V129" s="218"/>
      <c r="W129" s="218"/>
      <c r="X129" s="223"/>
      <c r="Y129" s="218"/>
      <c r="Z129" s="218"/>
      <c r="AA129" s="218"/>
    </row>
    <row r="130" spans="1:27" ht="15.75">
      <c r="A130" s="269"/>
      <c r="B130" s="218"/>
      <c r="C130" s="273"/>
      <c r="D130" s="312"/>
      <c r="E130" s="218"/>
      <c r="F130" s="269"/>
      <c r="G130" s="252"/>
      <c r="H130" s="252"/>
      <c r="I130" s="252"/>
      <c r="J130" s="252"/>
      <c r="K130" s="252"/>
      <c r="L130" s="252"/>
      <c r="M130" s="269"/>
      <c r="N130" s="269"/>
      <c r="O130" s="217"/>
      <c r="P130" s="217"/>
      <c r="Q130" s="252"/>
      <c r="R130" s="252"/>
      <c r="S130" s="252"/>
      <c r="T130" s="252"/>
      <c r="U130" s="218"/>
      <c r="V130" s="218"/>
      <c r="W130" s="218"/>
      <c r="X130" s="223"/>
      <c r="Y130" s="218"/>
      <c r="Z130" s="218"/>
      <c r="AA130" s="218"/>
    </row>
    <row r="131" spans="1:27" ht="15.75">
      <c r="A131" s="269"/>
      <c r="B131" s="218"/>
      <c r="C131" s="273"/>
      <c r="D131" s="312"/>
      <c r="E131" s="218"/>
      <c r="F131" s="269"/>
      <c r="G131" s="252"/>
      <c r="H131" s="252"/>
      <c r="I131" s="252"/>
      <c r="J131" s="252"/>
      <c r="K131" s="252"/>
      <c r="L131" s="252"/>
      <c r="M131" s="269"/>
      <c r="N131" s="269"/>
      <c r="O131" s="217"/>
      <c r="P131" s="217"/>
      <c r="Q131" s="252"/>
      <c r="R131" s="252"/>
      <c r="S131" s="252"/>
      <c r="T131" s="252"/>
      <c r="U131" s="218"/>
      <c r="V131" s="218"/>
      <c r="W131" s="218"/>
      <c r="X131" s="223"/>
      <c r="Y131" s="218"/>
      <c r="Z131" s="218"/>
      <c r="AA131" s="218"/>
    </row>
    <row r="132" spans="1:27" ht="15.75">
      <c r="A132" s="269"/>
      <c r="B132" s="218"/>
      <c r="C132" s="273"/>
      <c r="D132" s="312"/>
      <c r="E132" s="218"/>
      <c r="F132" s="269"/>
      <c r="G132" s="252"/>
      <c r="H132" s="252"/>
      <c r="I132" s="252"/>
      <c r="J132" s="252"/>
      <c r="K132" s="252"/>
      <c r="L132" s="252"/>
      <c r="M132" s="269"/>
      <c r="N132" s="269"/>
      <c r="O132" s="217"/>
      <c r="P132" s="217"/>
      <c r="Q132" s="252"/>
      <c r="R132" s="252"/>
      <c r="S132" s="252"/>
      <c r="T132" s="252"/>
      <c r="U132" s="218"/>
      <c r="V132" s="218"/>
      <c r="W132" s="218"/>
      <c r="X132" s="223"/>
      <c r="Y132" s="218"/>
      <c r="Z132" s="218"/>
      <c r="AA132" s="218"/>
    </row>
    <row r="133" spans="1:27" ht="15.75">
      <c r="A133" s="269"/>
      <c r="B133" s="218"/>
      <c r="C133" s="273"/>
      <c r="D133" s="312"/>
      <c r="E133" s="218"/>
      <c r="F133" s="269"/>
      <c r="G133" s="252"/>
      <c r="H133" s="252"/>
      <c r="I133" s="252"/>
      <c r="J133" s="252"/>
      <c r="K133" s="252"/>
      <c r="L133" s="252"/>
      <c r="M133" s="269"/>
      <c r="N133" s="269"/>
      <c r="O133" s="217"/>
      <c r="P133" s="217"/>
      <c r="Q133" s="252"/>
      <c r="R133" s="252"/>
      <c r="S133" s="252"/>
      <c r="T133" s="252"/>
      <c r="U133" s="218"/>
      <c r="V133" s="218"/>
      <c r="W133" s="218"/>
      <c r="X133" s="223"/>
      <c r="Y133" s="218"/>
      <c r="Z133" s="218"/>
      <c r="AA133" s="218"/>
    </row>
    <row r="134" spans="1:27" ht="15.75">
      <c r="A134" s="269"/>
      <c r="B134" s="218"/>
      <c r="C134" s="273"/>
      <c r="D134" s="312"/>
      <c r="E134" s="218"/>
      <c r="F134" s="269"/>
      <c r="G134" s="252"/>
      <c r="H134" s="252"/>
      <c r="I134" s="252"/>
      <c r="J134" s="252"/>
      <c r="K134" s="252"/>
      <c r="L134" s="252"/>
      <c r="M134" s="269"/>
      <c r="N134" s="269"/>
      <c r="O134" s="217"/>
      <c r="P134" s="217"/>
      <c r="Q134" s="252"/>
      <c r="R134" s="252"/>
      <c r="S134" s="252"/>
      <c r="T134" s="252"/>
      <c r="U134" s="218"/>
      <c r="V134" s="218"/>
      <c r="W134" s="218"/>
      <c r="X134" s="223"/>
      <c r="Y134" s="218"/>
      <c r="Z134" s="218"/>
      <c r="AA134" s="218"/>
    </row>
    <row r="135" spans="1:27" ht="15.75">
      <c r="A135" s="269"/>
      <c r="B135" s="218"/>
      <c r="C135" s="273"/>
      <c r="D135" s="312"/>
      <c r="E135" s="218"/>
      <c r="F135" s="269"/>
      <c r="G135" s="252"/>
      <c r="H135" s="252"/>
      <c r="I135" s="252"/>
      <c r="J135" s="252"/>
      <c r="K135" s="252"/>
      <c r="L135" s="252"/>
      <c r="M135" s="269"/>
      <c r="N135" s="269"/>
      <c r="O135" s="217"/>
      <c r="P135" s="217"/>
      <c r="Q135" s="252"/>
      <c r="R135" s="252"/>
      <c r="S135" s="252"/>
      <c r="T135" s="252"/>
      <c r="U135" s="218"/>
      <c r="V135" s="218"/>
      <c r="W135" s="218"/>
      <c r="X135" s="223"/>
      <c r="Y135" s="218"/>
      <c r="Z135" s="218"/>
      <c r="AA135" s="218"/>
    </row>
    <row r="136" spans="1:27" ht="15.75">
      <c r="A136" s="269"/>
      <c r="B136" s="218"/>
      <c r="C136" s="273"/>
      <c r="D136" s="312"/>
      <c r="E136" s="218"/>
      <c r="F136" s="269"/>
      <c r="G136" s="252"/>
      <c r="H136" s="252"/>
      <c r="I136" s="252"/>
      <c r="J136" s="252"/>
      <c r="K136" s="252"/>
      <c r="L136" s="252"/>
      <c r="M136" s="269"/>
      <c r="N136" s="269"/>
      <c r="O136" s="217"/>
      <c r="P136" s="217"/>
      <c r="Q136" s="252"/>
      <c r="R136" s="252"/>
      <c r="S136" s="252"/>
      <c r="T136" s="252"/>
      <c r="U136" s="218"/>
      <c r="V136" s="218"/>
      <c r="W136" s="218"/>
      <c r="X136" s="223"/>
      <c r="Y136" s="218"/>
      <c r="Z136" s="218"/>
      <c r="AA136" s="218"/>
    </row>
    <row r="137" spans="1:27" ht="15.75">
      <c r="A137" s="269"/>
      <c r="B137" s="218"/>
      <c r="C137" s="273"/>
      <c r="D137" s="312"/>
      <c r="E137" s="218"/>
      <c r="F137" s="269"/>
      <c r="G137" s="252"/>
      <c r="H137" s="252"/>
      <c r="I137" s="252"/>
      <c r="J137" s="252"/>
      <c r="K137" s="252"/>
      <c r="L137" s="252"/>
      <c r="M137" s="269"/>
      <c r="N137" s="269"/>
      <c r="O137" s="217"/>
      <c r="P137" s="217"/>
      <c r="Q137" s="252"/>
      <c r="R137" s="252"/>
      <c r="S137" s="252"/>
      <c r="T137" s="252"/>
      <c r="U137" s="218"/>
      <c r="V137" s="218"/>
      <c r="W137" s="218"/>
      <c r="X137" s="223"/>
      <c r="Y137" s="218"/>
      <c r="Z137" s="218"/>
      <c r="AA137" s="218"/>
    </row>
    <row r="138" spans="1:27" ht="15.75">
      <c r="A138" s="269"/>
      <c r="B138" s="218"/>
      <c r="C138" s="273"/>
      <c r="D138" s="312"/>
      <c r="E138" s="218"/>
      <c r="F138" s="269"/>
      <c r="G138" s="252"/>
      <c r="H138" s="252"/>
      <c r="I138" s="252"/>
      <c r="J138" s="252"/>
      <c r="K138" s="252"/>
      <c r="L138" s="252"/>
      <c r="M138" s="269"/>
      <c r="N138" s="269"/>
      <c r="O138" s="217"/>
      <c r="P138" s="217"/>
      <c r="Q138" s="252"/>
      <c r="R138" s="252"/>
      <c r="S138" s="252"/>
      <c r="T138" s="252"/>
      <c r="U138" s="218"/>
      <c r="V138" s="218"/>
      <c r="W138" s="218"/>
      <c r="X138" s="223"/>
      <c r="Y138" s="218"/>
      <c r="Z138" s="218"/>
      <c r="AA138" s="218"/>
    </row>
    <row r="139" spans="1:27" ht="15.75">
      <c r="A139" s="269"/>
      <c r="B139" s="218"/>
      <c r="C139" s="273"/>
      <c r="D139" s="312"/>
      <c r="E139" s="218"/>
      <c r="F139" s="269"/>
      <c r="G139" s="252"/>
      <c r="H139" s="252"/>
      <c r="I139" s="252"/>
      <c r="J139" s="252"/>
      <c r="K139" s="252"/>
      <c r="L139" s="252"/>
      <c r="M139" s="269"/>
      <c r="N139" s="269"/>
      <c r="O139" s="217"/>
      <c r="P139" s="217"/>
      <c r="Q139" s="252"/>
      <c r="R139" s="252"/>
      <c r="S139" s="252"/>
      <c r="T139" s="252"/>
      <c r="U139" s="218"/>
      <c r="V139" s="218"/>
      <c r="W139" s="218"/>
      <c r="X139" s="223"/>
      <c r="Y139" s="218"/>
      <c r="Z139" s="218"/>
      <c r="AA139" s="218"/>
    </row>
    <row r="140" spans="1:27" ht="15.75">
      <c r="A140" s="269"/>
      <c r="B140" s="218"/>
      <c r="C140" s="273"/>
      <c r="D140" s="312"/>
      <c r="E140" s="218"/>
      <c r="F140" s="269"/>
      <c r="G140" s="252"/>
      <c r="H140" s="252"/>
      <c r="I140" s="252"/>
      <c r="J140" s="252"/>
      <c r="K140" s="252"/>
      <c r="L140" s="252"/>
      <c r="M140" s="269"/>
      <c r="N140" s="269"/>
      <c r="O140" s="217"/>
      <c r="P140" s="217"/>
      <c r="Q140" s="252"/>
      <c r="R140" s="252"/>
      <c r="S140" s="252"/>
      <c r="T140" s="252"/>
      <c r="U140" s="218"/>
      <c r="V140" s="218"/>
      <c r="W140" s="218"/>
      <c r="X140" s="223"/>
      <c r="Y140" s="218"/>
      <c r="Z140" s="218"/>
      <c r="AA140" s="218"/>
    </row>
    <row r="141" spans="1:27" ht="15.75">
      <c r="A141" s="269"/>
      <c r="B141" s="218"/>
      <c r="C141" s="273"/>
      <c r="D141" s="312"/>
      <c r="E141" s="218"/>
      <c r="F141" s="269"/>
      <c r="G141" s="252"/>
      <c r="H141" s="252"/>
      <c r="I141" s="252"/>
      <c r="J141" s="252"/>
      <c r="K141" s="252"/>
      <c r="L141" s="252"/>
      <c r="M141" s="269"/>
      <c r="N141" s="269"/>
      <c r="O141" s="217"/>
      <c r="P141" s="217"/>
      <c r="Q141" s="252"/>
      <c r="R141" s="252"/>
      <c r="S141" s="252"/>
      <c r="T141" s="252"/>
      <c r="U141" s="218"/>
      <c r="V141" s="218"/>
      <c r="W141" s="218"/>
      <c r="X141" s="223"/>
      <c r="Y141" s="218"/>
      <c r="Z141" s="218"/>
      <c r="AA141" s="218"/>
    </row>
    <row r="142" spans="1:27" ht="15.75">
      <c r="A142" s="269"/>
      <c r="B142" s="218"/>
      <c r="C142" s="273"/>
      <c r="D142" s="312"/>
      <c r="E142" s="218"/>
      <c r="F142" s="269"/>
      <c r="G142" s="252"/>
      <c r="H142" s="252"/>
      <c r="I142" s="252"/>
      <c r="J142" s="252"/>
      <c r="K142" s="252"/>
      <c r="L142" s="252"/>
      <c r="M142" s="269"/>
      <c r="N142" s="269"/>
      <c r="O142" s="217"/>
      <c r="P142" s="217"/>
      <c r="Q142" s="252"/>
      <c r="R142" s="252"/>
      <c r="S142" s="252"/>
      <c r="T142" s="252"/>
      <c r="U142" s="218"/>
      <c r="V142" s="218"/>
      <c r="W142" s="218"/>
      <c r="X142" s="223"/>
      <c r="Y142" s="218"/>
      <c r="Z142" s="218"/>
      <c r="AA142" s="218"/>
    </row>
    <row r="143" spans="1:27" ht="15.75">
      <c r="A143" s="269"/>
      <c r="B143" s="218"/>
      <c r="C143" s="273"/>
      <c r="D143" s="312"/>
      <c r="E143" s="218"/>
      <c r="F143" s="269"/>
      <c r="G143" s="252"/>
      <c r="H143" s="252"/>
      <c r="I143" s="252"/>
      <c r="J143" s="252"/>
      <c r="K143" s="252"/>
      <c r="L143" s="252"/>
      <c r="M143" s="269"/>
      <c r="N143" s="269"/>
      <c r="O143" s="217"/>
      <c r="P143" s="217"/>
      <c r="Q143" s="252"/>
      <c r="R143" s="252"/>
      <c r="S143" s="252"/>
      <c r="T143" s="252"/>
      <c r="U143" s="218"/>
      <c r="V143" s="218"/>
      <c r="W143" s="218"/>
      <c r="X143" s="223"/>
      <c r="Y143" s="218"/>
      <c r="Z143" s="218"/>
      <c r="AA143" s="218"/>
    </row>
    <row r="144" spans="1:27" ht="15.75">
      <c r="A144" s="269"/>
      <c r="B144" s="218"/>
      <c r="C144" s="273"/>
      <c r="D144" s="312"/>
      <c r="E144" s="218"/>
      <c r="F144" s="269"/>
      <c r="G144" s="252"/>
      <c r="H144" s="252"/>
      <c r="I144" s="252"/>
      <c r="J144" s="252"/>
      <c r="K144" s="252"/>
      <c r="L144" s="252"/>
      <c r="M144" s="269"/>
      <c r="N144" s="269"/>
      <c r="O144" s="217"/>
      <c r="P144" s="217"/>
      <c r="Q144" s="252"/>
      <c r="R144" s="252"/>
      <c r="S144" s="252"/>
      <c r="T144" s="252"/>
      <c r="U144" s="218"/>
      <c r="V144" s="218"/>
      <c r="W144" s="218"/>
      <c r="X144" s="223"/>
      <c r="Y144" s="218"/>
      <c r="Z144" s="218"/>
      <c r="AA144" s="218"/>
    </row>
    <row r="145" spans="1:27" ht="15.75">
      <c r="A145" s="269"/>
      <c r="B145" s="218"/>
      <c r="C145" s="273"/>
      <c r="D145" s="312"/>
      <c r="E145" s="218"/>
      <c r="F145" s="269"/>
      <c r="G145" s="252"/>
      <c r="H145" s="252"/>
      <c r="I145" s="252"/>
      <c r="J145" s="252"/>
      <c r="K145" s="252"/>
      <c r="L145" s="252"/>
      <c r="M145" s="269"/>
      <c r="N145" s="269"/>
      <c r="O145" s="217"/>
      <c r="P145" s="217"/>
      <c r="Q145" s="252"/>
      <c r="R145" s="252"/>
      <c r="S145" s="252"/>
      <c r="T145" s="252"/>
      <c r="U145" s="218"/>
      <c r="V145" s="218"/>
      <c r="W145" s="218"/>
      <c r="X145" s="223"/>
      <c r="Y145" s="218"/>
      <c r="Z145" s="218"/>
      <c r="AA145" s="218"/>
    </row>
    <row r="146" spans="1:27" ht="15.75">
      <c r="A146" s="269"/>
      <c r="B146" s="218"/>
      <c r="C146" s="273"/>
      <c r="D146" s="312"/>
      <c r="E146" s="218"/>
      <c r="F146" s="269"/>
      <c r="G146" s="252"/>
      <c r="H146" s="252"/>
      <c r="I146" s="252"/>
      <c r="J146" s="252"/>
      <c r="K146" s="252"/>
      <c r="L146" s="252"/>
      <c r="M146" s="269"/>
      <c r="N146" s="269"/>
      <c r="O146" s="217"/>
      <c r="P146" s="217"/>
      <c r="Q146" s="252"/>
      <c r="R146" s="252"/>
      <c r="S146" s="252"/>
      <c r="T146" s="252"/>
      <c r="U146" s="218"/>
      <c r="V146" s="218"/>
      <c r="W146" s="218"/>
      <c r="X146" s="223"/>
      <c r="Y146" s="218"/>
      <c r="Z146" s="218"/>
      <c r="AA146" s="218"/>
    </row>
    <row r="147" spans="1:27" ht="15.75">
      <c r="A147" s="269"/>
      <c r="B147" s="218"/>
      <c r="C147" s="273"/>
      <c r="D147" s="312"/>
      <c r="E147" s="218"/>
      <c r="F147" s="269"/>
      <c r="G147" s="252"/>
      <c r="H147" s="252"/>
      <c r="I147" s="252"/>
      <c r="J147" s="252"/>
      <c r="K147" s="252"/>
      <c r="L147" s="252"/>
      <c r="M147" s="269"/>
      <c r="N147" s="269"/>
      <c r="O147" s="217"/>
      <c r="P147" s="217"/>
      <c r="Q147" s="252"/>
      <c r="R147" s="252"/>
      <c r="S147" s="252"/>
      <c r="T147" s="252"/>
      <c r="U147" s="218"/>
      <c r="V147" s="218"/>
      <c r="W147" s="218"/>
      <c r="X147" s="223"/>
      <c r="Y147" s="218"/>
      <c r="Z147" s="218"/>
      <c r="AA147" s="218"/>
    </row>
    <row r="148" spans="1:27" ht="15.75">
      <c r="A148" s="269"/>
      <c r="B148" s="218"/>
      <c r="C148" s="273"/>
      <c r="D148" s="312"/>
      <c r="E148" s="218"/>
      <c r="F148" s="269"/>
      <c r="G148" s="252"/>
      <c r="H148" s="252"/>
      <c r="I148" s="252"/>
      <c r="J148" s="252"/>
      <c r="K148" s="252"/>
      <c r="L148" s="252"/>
      <c r="M148" s="269"/>
      <c r="N148" s="269"/>
      <c r="O148" s="217"/>
      <c r="P148" s="217"/>
      <c r="Q148" s="252"/>
      <c r="R148" s="252"/>
      <c r="S148" s="252"/>
      <c r="T148" s="252"/>
      <c r="U148" s="218"/>
      <c r="V148" s="218"/>
      <c r="W148" s="218"/>
      <c r="X148" s="223"/>
      <c r="Y148" s="218"/>
      <c r="Z148" s="218"/>
      <c r="AA148" s="218"/>
    </row>
    <row r="149" spans="1:27" ht="15.75">
      <c r="A149" s="269"/>
      <c r="B149" s="218"/>
      <c r="C149" s="273"/>
      <c r="D149" s="312"/>
      <c r="E149" s="218"/>
      <c r="F149" s="269"/>
      <c r="G149" s="252"/>
      <c r="H149" s="252"/>
      <c r="I149" s="252"/>
      <c r="J149" s="252"/>
      <c r="K149" s="252"/>
      <c r="L149" s="252"/>
      <c r="M149" s="269"/>
      <c r="N149" s="269"/>
      <c r="O149" s="217"/>
      <c r="P149" s="217"/>
      <c r="Q149" s="252"/>
      <c r="R149" s="252"/>
      <c r="S149" s="252"/>
      <c r="T149" s="252"/>
      <c r="U149" s="218"/>
      <c r="V149" s="218"/>
      <c r="W149" s="218"/>
      <c r="X149" s="223"/>
      <c r="Y149" s="218"/>
      <c r="Z149" s="218"/>
      <c r="AA149" s="218"/>
    </row>
    <row r="150" spans="1:27" ht="15.75">
      <c r="A150" s="269"/>
      <c r="B150" s="218"/>
      <c r="C150" s="273"/>
      <c r="D150" s="312"/>
      <c r="E150" s="218"/>
      <c r="F150" s="269"/>
      <c r="G150" s="252"/>
      <c r="H150" s="252"/>
      <c r="I150" s="252"/>
      <c r="J150" s="252"/>
      <c r="K150" s="252"/>
      <c r="L150" s="252"/>
      <c r="M150" s="269"/>
      <c r="N150" s="269"/>
      <c r="O150" s="217"/>
      <c r="P150" s="217"/>
      <c r="Q150" s="252"/>
      <c r="R150" s="252"/>
      <c r="S150" s="252"/>
      <c r="T150" s="252"/>
      <c r="U150" s="218"/>
      <c r="V150" s="218"/>
      <c r="W150" s="218"/>
      <c r="X150" s="223"/>
      <c r="Y150" s="218"/>
      <c r="Z150" s="218"/>
      <c r="AA150" s="218"/>
    </row>
    <row r="151" spans="1:27" ht="15.75">
      <c r="A151" s="269"/>
      <c r="B151" s="218"/>
      <c r="C151" s="273"/>
      <c r="D151" s="312"/>
      <c r="E151" s="218"/>
      <c r="F151" s="269"/>
      <c r="G151" s="252"/>
      <c r="H151" s="252"/>
      <c r="I151" s="252"/>
      <c r="J151" s="252"/>
      <c r="K151" s="252"/>
      <c r="L151" s="252"/>
      <c r="M151" s="269"/>
      <c r="N151" s="269"/>
      <c r="O151" s="217"/>
      <c r="P151" s="217"/>
      <c r="Q151" s="252"/>
      <c r="R151" s="252"/>
      <c r="S151" s="252"/>
      <c r="T151" s="252"/>
      <c r="U151" s="218"/>
      <c r="V151" s="218"/>
      <c r="W151" s="218"/>
      <c r="X151" s="223"/>
      <c r="Y151" s="218"/>
      <c r="Z151" s="218"/>
      <c r="AA151" s="218"/>
    </row>
    <row r="152" spans="1:27" ht="15.75">
      <c r="A152" s="269"/>
      <c r="B152" s="218"/>
      <c r="C152" s="273"/>
      <c r="D152" s="312"/>
      <c r="E152" s="218"/>
      <c r="F152" s="269"/>
      <c r="G152" s="252"/>
      <c r="H152" s="252"/>
      <c r="I152" s="252"/>
      <c r="J152" s="252"/>
      <c r="K152" s="252"/>
      <c r="L152" s="252"/>
      <c r="M152" s="269"/>
      <c r="N152" s="269"/>
      <c r="O152" s="217"/>
      <c r="P152" s="217"/>
      <c r="Q152" s="252"/>
      <c r="R152" s="252"/>
      <c r="S152" s="252"/>
      <c r="T152" s="252"/>
      <c r="U152" s="218"/>
      <c r="V152" s="218"/>
      <c r="W152" s="218"/>
      <c r="X152" s="223"/>
      <c r="Y152" s="218"/>
      <c r="Z152" s="218"/>
      <c r="AA152" s="218"/>
    </row>
    <row r="153" spans="1:27" ht="15.75">
      <c r="A153" s="269"/>
      <c r="B153" s="218"/>
      <c r="C153" s="273"/>
      <c r="D153" s="312"/>
      <c r="E153" s="218"/>
      <c r="F153" s="269"/>
      <c r="G153" s="252"/>
      <c r="H153" s="252"/>
      <c r="I153" s="252"/>
      <c r="J153" s="252"/>
      <c r="K153" s="252"/>
      <c r="L153" s="252"/>
      <c r="M153" s="269"/>
      <c r="N153" s="269"/>
      <c r="O153" s="217"/>
      <c r="P153" s="217"/>
      <c r="Q153" s="252"/>
      <c r="R153" s="252"/>
      <c r="S153" s="252"/>
      <c r="T153" s="252"/>
      <c r="U153" s="218"/>
      <c r="V153" s="218"/>
      <c r="W153" s="218"/>
      <c r="X153" s="223"/>
      <c r="Y153" s="218"/>
      <c r="Z153" s="218"/>
      <c r="AA153" s="218"/>
    </row>
    <row r="154" spans="1:27" ht="15.75">
      <c r="A154" s="269"/>
      <c r="B154" s="218"/>
      <c r="C154" s="273"/>
      <c r="D154" s="312"/>
      <c r="E154" s="218"/>
      <c r="F154" s="269"/>
      <c r="G154" s="252"/>
      <c r="H154" s="252"/>
      <c r="I154" s="252"/>
      <c r="J154" s="252"/>
      <c r="K154" s="252"/>
      <c r="L154" s="252"/>
      <c r="M154" s="269"/>
      <c r="N154" s="269"/>
      <c r="O154" s="217"/>
      <c r="P154" s="217"/>
      <c r="Q154" s="252"/>
      <c r="R154" s="252"/>
      <c r="S154" s="252"/>
      <c r="T154" s="252"/>
      <c r="U154" s="218"/>
      <c r="V154" s="218"/>
      <c r="W154" s="218"/>
      <c r="X154" s="223"/>
      <c r="Y154" s="218"/>
      <c r="Z154" s="218"/>
      <c r="AA154" s="218"/>
    </row>
    <row r="155" spans="1:27" ht="15.75">
      <c r="A155" s="269"/>
      <c r="B155" s="218"/>
      <c r="C155" s="273"/>
      <c r="D155" s="312"/>
      <c r="E155" s="218"/>
      <c r="F155" s="269"/>
      <c r="G155" s="252"/>
      <c r="H155" s="252"/>
      <c r="I155" s="252"/>
      <c r="J155" s="252"/>
      <c r="K155" s="252"/>
      <c r="L155" s="252"/>
      <c r="M155" s="269"/>
      <c r="N155" s="269"/>
      <c r="O155" s="217"/>
      <c r="P155" s="217"/>
      <c r="Q155" s="252"/>
      <c r="R155" s="252"/>
      <c r="S155" s="252"/>
      <c r="T155" s="252"/>
      <c r="U155" s="218"/>
      <c r="V155" s="218"/>
      <c r="W155" s="218"/>
      <c r="X155" s="223"/>
      <c r="Y155" s="218"/>
      <c r="Z155" s="218"/>
      <c r="AA155" s="218"/>
    </row>
    <row r="156" spans="1:27" ht="15.75">
      <c r="A156" s="269"/>
      <c r="B156" s="218"/>
      <c r="C156" s="273"/>
      <c r="D156" s="312"/>
      <c r="E156" s="218"/>
      <c r="F156" s="269"/>
      <c r="G156" s="252"/>
      <c r="H156" s="252"/>
      <c r="I156" s="252"/>
      <c r="J156" s="252"/>
      <c r="K156" s="252"/>
      <c r="L156" s="252"/>
      <c r="M156" s="269"/>
      <c r="N156" s="269"/>
      <c r="O156" s="217"/>
      <c r="P156" s="217"/>
      <c r="Q156" s="252"/>
      <c r="R156" s="252"/>
      <c r="S156" s="252"/>
      <c r="T156" s="252"/>
      <c r="U156" s="218"/>
      <c r="V156" s="218"/>
      <c r="W156" s="218"/>
      <c r="X156" s="223"/>
      <c r="Y156" s="218"/>
      <c r="Z156" s="218"/>
      <c r="AA156" s="218"/>
    </row>
    <row r="157" spans="1:27" ht="15.75">
      <c r="A157" s="269"/>
      <c r="B157" s="218"/>
      <c r="C157" s="273"/>
      <c r="D157" s="312"/>
      <c r="E157" s="218"/>
      <c r="F157" s="269"/>
      <c r="G157" s="252"/>
      <c r="H157" s="252"/>
      <c r="I157" s="252"/>
      <c r="J157" s="252"/>
      <c r="K157" s="252"/>
      <c r="L157" s="252"/>
      <c r="M157" s="269"/>
      <c r="N157" s="269"/>
      <c r="O157" s="217"/>
      <c r="P157" s="217"/>
      <c r="Q157" s="252"/>
      <c r="R157" s="252"/>
      <c r="S157" s="252"/>
      <c r="T157" s="252"/>
      <c r="U157" s="218"/>
      <c r="V157" s="218"/>
      <c r="W157" s="218"/>
      <c r="X157" s="223"/>
      <c r="Y157" s="218"/>
      <c r="Z157" s="218"/>
      <c r="AA157" s="218"/>
    </row>
    <row r="158" spans="1:27" ht="15.75">
      <c r="A158" s="269"/>
      <c r="B158" s="218"/>
      <c r="C158" s="273"/>
      <c r="D158" s="312"/>
      <c r="E158" s="218"/>
      <c r="F158" s="269"/>
      <c r="G158" s="252"/>
      <c r="H158" s="252"/>
      <c r="I158" s="252"/>
      <c r="J158" s="252"/>
      <c r="K158" s="252"/>
      <c r="L158" s="252"/>
      <c r="M158" s="269"/>
      <c r="N158" s="269"/>
      <c r="O158" s="217"/>
      <c r="P158" s="217"/>
      <c r="Q158" s="252"/>
      <c r="R158" s="252"/>
      <c r="S158" s="252"/>
      <c r="T158" s="252"/>
      <c r="U158" s="218"/>
      <c r="V158" s="218"/>
      <c r="W158" s="218"/>
      <c r="X158" s="223"/>
      <c r="Y158" s="218"/>
      <c r="Z158" s="218"/>
      <c r="AA158" s="218"/>
    </row>
    <row r="159" spans="1:27" ht="15.75">
      <c r="A159" s="269"/>
      <c r="B159" s="218"/>
      <c r="C159" s="273"/>
      <c r="D159" s="312"/>
      <c r="E159" s="218"/>
      <c r="F159" s="269"/>
      <c r="G159" s="252"/>
      <c r="H159" s="252"/>
      <c r="I159" s="252"/>
      <c r="J159" s="252"/>
      <c r="K159" s="252"/>
      <c r="L159" s="252"/>
      <c r="M159" s="269"/>
      <c r="N159" s="269"/>
      <c r="O159" s="217"/>
      <c r="P159" s="217"/>
      <c r="Q159" s="252"/>
      <c r="R159" s="252"/>
      <c r="S159" s="252"/>
      <c r="T159" s="252"/>
      <c r="U159" s="218"/>
      <c r="V159" s="218"/>
      <c r="W159" s="218"/>
      <c r="X159" s="223"/>
      <c r="Y159" s="218"/>
      <c r="Z159" s="218"/>
      <c r="AA159" s="218"/>
    </row>
  </sheetData>
  <mergeCells count="2">
    <mergeCell ref="Q3:S3"/>
    <mergeCell ref="O3:P3"/>
  </mergeCells>
  <printOptions/>
  <pageMargins left="0.15748031496062992" right="0.12" top="0.07874015748031496" bottom="0.11811023622047245" header="0" footer="0"/>
  <pageSetup fitToHeight="2" fitToWidth="1" horizontalDpi="600" verticalDpi="600" orientation="landscape" paperSize="9" scale="81" r:id="rId4"/>
  <drawing r:id="rId3"/>
  <legacyDrawing r:id="rId2"/>
</worksheet>
</file>

<file path=xl/worksheets/sheet4.xml><?xml version="1.0" encoding="utf-8"?>
<worksheet xmlns="http://schemas.openxmlformats.org/spreadsheetml/2006/main" xmlns:r="http://schemas.openxmlformats.org/officeDocument/2006/relationships">
  <dimension ref="A1:L214"/>
  <sheetViews>
    <sheetView workbookViewId="0" topLeftCell="A31">
      <selection activeCell="C43" sqref="C43"/>
    </sheetView>
  </sheetViews>
  <sheetFormatPr defaultColWidth="8.796875" defaultRowHeight="15.75"/>
  <cols>
    <col min="1" max="1" width="6.59765625" style="364" customWidth="1"/>
    <col min="2" max="2" width="13.69921875" style="361" customWidth="1"/>
    <col min="3" max="3" width="10" style="361" customWidth="1"/>
    <col min="4" max="4" width="25.19921875" style="361" customWidth="1"/>
    <col min="5" max="5" width="0" style="361" hidden="1" customWidth="1"/>
    <col min="6" max="6" width="4.296875" style="361" customWidth="1"/>
    <col min="7" max="7" width="22.09765625" style="361" customWidth="1"/>
    <col min="8" max="8" width="7.09765625" style="380" customWidth="1"/>
    <col min="9" max="10" width="7.09765625" style="361" customWidth="1"/>
    <col min="11" max="11" width="25.8984375" style="361" customWidth="1"/>
    <col min="12" max="16384" width="7.09765625" style="361" customWidth="1"/>
  </cols>
  <sheetData>
    <row r="1" ht="12.75">
      <c r="A1" s="360" t="s">
        <v>647</v>
      </c>
    </row>
    <row r="3" spans="1:8" s="363" customFormat="1" ht="12.75">
      <c r="A3" s="362" t="s">
        <v>648</v>
      </c>
      <c r="B3" s="363" t="s">
        <v>649</v>
      </c>
      <c r="C3" s="363" t="s">
        <v>650</v>
      </c>
      <c r="D3" s="363" t="s">
        <v>651</v>
      </c>
      <c r="H3" s="381"/>
    </row>
    <row r="4" spans="1:12" ht="12.75">
      <c r="A4" s="366">
        <v>0</v>
      </c>
      <c r="B4" s="367" t="s">
        <v>665</v>
      </c>
      <c r="C4" s="367" t="s">
        <v>666</v>
      </c>
      <c r="D4" s="367" t="s">
        <v>667</v>
      </c>
      <c r="F4" s="379"/>
      <c r="G4" s="378"/>
      <c r="I4" s="378"/>
      <c r="K4" s="378"/>
      <c r="L4" s="378"/>
    </row>
    <row r="5" spans="1:7" ht="12.75">
      <c r="A5" s="364">
        <v>0</v>
      </c>
      <c r="B5" s="361" t="s">
        <v>669</v>
      </c>
      <c r="C5" s="361" t="s">
        <v>666</v>
      </c>
      <c r="D5" s="365" t="s">
        <v>336</v>
      </c>
      <c r="F5" s="379"/>
      <c r="G5" s="378"/>
    </row>
    <row r="6" spans="1:7" ht="12.75">
      <c r="A6" s="364">
        <v>0</v>
      </c>
      <c r="B6" s="361" t="s">
        <v>352</v>
      </c>
      <c r="C6" s="361" t="s">
        <v>664</v>
      </c>
      <c r="D6" s="365" t="s">
        <v>336</v>
      </c>
      <c r="F6" s="396"/>
      <c r="G6" s="378"/>
    </row>
    <row r="7" spans="1:7" ht="12.75">
      <c r="A7" s="364">
        <v>0</v>
      </c>
      <c r="B7" s="361" t="s">
        <v>351</v>
      </c>
      <c r="C7" s="361" t="s">
        <v>664</v>
      </c>
      <c r="D7" s="365" t="s">
        <v>336</v>
      </c>
      <c r="F7" s="396"/>
      <c r="G7" s="378"/>
    </row>
    <row r="8" spans="1:7" ht="12.75">
      <c r="A8" s="364">
        <v>0</v>
      </c>
      <c r="B8" s="361" t="s">
        <v>679</v>
      </c>
      <c r="C8" s="361" t="s">
        <v>664</v>
      </c>
      <c r="D8" s="365" t="s">
        <v>336</v>
      </c>
      <c r="F8" s="379"/>
      <c r="G8" s="378"/>
    </row>
    <row r="9" spans="1:7" ht="12.75">
      <c r="A9" s="364">
        <v>0</v>
      </c>
      <c r="B9" s="361" t="s">
        <v>682</v>
      </c>
      <c r="C9" s="361" t="s">
        <v>660</v>
      </c>
      <c r="D9" s="365" t="s">
        <v>336</v>
      </c>
      <c r="F9" s="379"/>
      <c r="G9" s="378"/>
    </row>
    <row r="10" spans="1:7" ht="12.75">
      <c r="A10" s="364">
        <v>0</v>
      </c>
      <c r="B10" s="361" t="s">
        <v>197</v>
      </c>
      <c r="C10" s="361" t="s">
        <v>676</v>
      </c>
      <c r="D10" s="361" t="s">
        <v>197</v>
      </c>
      <c r="F10" s="396"/>
      <c r="G10" s="378"/>
    </row>
    <row r="11" spans="1:7" ht="12.75">
      <c r="A11" s="364">
        <v>0</v>
      </c>
      <c r="B11" s="361" t="s">
        <v>365</v>
      </c>
      <c r="C11" s="361" t="s">
        <v>658</v>
      </c>
      <c r="D11" s="365" t="s">
        <v>336</v>
      </c>
      <c r="F11" s="396"/>
      <c r="G11" s="378"/>
    </row>
    <row r="12" spans="1:7" ht="12.75">
      <c r="A12" s="364">
        <v>0</v>
      </c>
      <c r="B12" s="361" t="s">
        <v>688</v>
      </c>
      <c r="C12" s="361" t="s">
        <v>658</v>
      </c>
      <c r="D12" s="365" t="s">
        <v>336</v>
      </c>
      <c r="F12" s="379"/>
      <c r="G12" s="378"/>
    </row>
    <row r="13" spans="1:7" ht="12.75">
      <c r="A13" s="364">
        <v>0</v>
      </c>
      <c r="B13" s="361" t="s">
        <v>353</v>
      </c>
      <c r="C13" s="361" t="s">
        <v>664</v>
      </c>
      <c r="D13" s="365" t="s">
        <v>336</v>
      </c>
      <c r="F13" s="396"/>
      <c r="G13" s="378"/>
    </row>
    <row r="14" spans="1:7" ht="12.75">
      <c r="A14" s="364">
        <v>0</v>
      </c>
      <c r="B14" s="361" t="s">
        <v>350</v>
      </c>
      <c r="C14" s="361" t="s">
        <v>678</v>
      </c>
      <c r="D14" s="365" t="s">
        <v>336</v>
      </c>
      <c r="F14" s="396"/>
      <c r="G14" s="378"/>
    </row>
    <row r="15" spans="1:7" ht="12.75">
      <c r="A15" s="364">
        <v>0</v>
      </c>
      <c r="B15" s="361" t="s">
        <v>694</v>
      </c>
      <c r="C15" s="361" t="s">
        <v>658</v>
      </c>
      <c r="D15" s="365" t="s">
        <v>336</v>
      </c>
      <c r="F15" s="379"/>
      <c r="G15" s="378"/>
    </row>
    <row r="16" spans="1:6" ht="12.75">
      <c r="A16" s="364">
        <v>1</v>
      </c>
      <c r="B16" s="361" t="s">
        <v>652</v>
      </c>
      <c r="C16" s="361" t="s">
        <v>653</v>
      </c>
      <c r="D16" s="361" t="s">
        <v>654</v>
      </c>
      <c r="F16" s="379"/>
    </row>
    <row r="17" spans="1:6" ht="12.75">
      <c r="A17" s="364">
        <v>1</v>
      </c>
      <c r="B17" s="361" t="s">
        <v>655</v>
      </c>
      <c r="C17" s="361" t="s">
        <v>653</v>
      </c>
      <c r="D17" s="361" t="s">
        <v>656</v>
      </c>
      <c r="F17" s="379"/>
    </row>
    <row r="18" spans="1:6" ht="12.75">
      <c r="A18" s="364">
        <v>1</v>
      </c>
      <c r="B18" s="361" t="s">
        <v>657</v>
      </c>
      <c r="C18" s="361" t="s">
        <v>658</v>
      </c>
      <c r="D18" s="361" t="s">
        <v>659</v>
      </c>
      <c r="F18" s="379"/>
    </row>
    <row r="19" spans="1:6" ht="12.75">
      <c r="A19" s="364">
        <v>1</v>
      </c>
      <c r="B19" s="361" t="s">
        <v>372</v>
      </c>
      <c r="C19" s="361" t="s">
        <v>660</v>
      </c>
      <c r="D19" s="361" t="s">
        <v>654</v>
      </c>
      <c r="F19" s="379"/>
    </row>
    <row r="20" spans="1:6" ht="12.75">
      <c r="A20" s="364">
        <v>1</v>
      </c>
      <c r="B20" s="361" t="s">
        <v>661</v>
      </c>
      <c r="C20" s="361" t="s">
        <v>653</v>
      </c>
      <c r="D20" s="361" t="s">
        <v>656</v>
      </c>
      <c r="E20" s="361" t="s">
        <v>662</v>
      </c>
      <c r="F20" s="379"/>
    </row>
    <row r="21" spans="1:7" ht="12.75">
      <c r="A21" s="364">
        <v>1</v>
      </c>
      <c r="B21" s="361" t="s">
        <v>663</v>
      </c>
      <c r="C21" s="361" t="s">
        <v>664</v>
      </c>
      <c r="D21" s="365" t="s">
        <v>336</v>
      </c>
      <c r="F21" s="378"/>
      <c r="G21" s="363"/>
    </row>
    <row r="22" spans="1:6" ht="12.75">
      <c r="A22" s="364">
        <v>1</v>
      </c>
      <c r="B22" s="361" t="s">
        <v>668</v>
      </c>
      <c r="C22" s="361" t="s">
        <v>666</v>
      </c>
      <c r="D22" s="365" t="s">
        <v>336</v>
      </c>
      <c r="F22" s="378"/>
    </row>
    <row r="23" spans="1:7" ht="12.75">
      <c r="A23" s="368">
        <v>1</v>
      </c>
      <c r="B23" s="369" t="s">
        <v>670</v>
      </c>
      <c r="C23" s="369" t="s">
        <v>660</v>
      </c>
      <c r="D23" s="369" t="s">
        <v>671</v>
      </c>
      <c r="F23" s="378"/>
      <c r="G23" s="378"/>
    </row>
    <row r="24" spans="1:7" ht="12.75">
      <c r="A24" s="368">
        <v>1</v>
      </c>
      <c r="B24" s="369" t="s">
        <v>672</v>
      </c>
      <c r="C24" s="369" t="s">
        <v>660</v>
      </c>
      <c r="D24" s="369" t="s">
        <v>671</v>
      </c>
      <c r="F24" s="378"/>
      <c r="G24" s="378"/>
    </row>
    <row r="25" spans="1:7" ht="12.75">
      <c r="A25" s="364">
        <v>1</v>
      </c>
      <c r="B25" s="361" t="s">
        <v>673</v>
      </c>
      <c r="C25" s="361" t="s">
        <v>664</v>
      </c>
      <c r="D25" s="365" t="s">
        <v>336</v>
      </c>
      <c r="F25" s="378"/>
      <c r="G25" s="378"/>
    </row>
    <row r="26" spans="1:7" ht="12.75">
      <c r="A26" s="364">
        <v>1</v>
      </c>
      <c r="B26" s="361" t="s">
        <v>674</v>
      </c>
      <c r="C26" s="361" t="s">
        <v>664</v>
      </c>
      <c r="D26" s="365" t="s">
        <v>336</v>
      </c>
      <c r="F26" s="378"/>
      <c r="G26" s="378"/>
    </row>
    <row r="27" spans="1:7" ht="12.75">
      <c r="A27" s="364">
        <v>1</v>
      </c>
      <c r="B27" s="361" t="s">
        <v>675</v>
      </c>
      <c r="C27" s="361" t="s">
        <v>676</v>
      </c>
      <c r="D27" s="365" t="s">
        <v>336</v>
      </c>
      <c r="F27" s="378"/>
      <c r="G27" s="378"/>
    </row>
    <row r="28" spans="1:7" ht="12.75">
      <c r="A28" s="364">
        <v>1</v>
      </c>
      <c r="B28" s="361" t="s">
        <v>677</v>
      </c>
      <c r="C28" s="361" t="s">
        <v>660</v>
      </c>
      <c r="D28" s="361" t="s">
        <v>654</v>
      </c>
      <c r="F28" s="378"/>
      <c r="G28" s="378"/>
    </row>
    <row r="29" spans="1:6" ht="12.75">
      <c r="A29" s="364">
        <v>1</v>
      </c>
      <c r="B29" s="361" t="s">
        <v>640</v>
      </c>
      <c r="C29" s="361" t="s">
        <v>678</v>
      </c>
      <c r="D29" s="365" t="s">
        <v>336</v>
      </c>
      <c r="F29" s="378"/>
    </row>
    <row r="30" spans="1:6" ht="12.75">
      <c r="A30" s="364">
        <v>1</v>
      </c>
      <c r="B30" s="361" t="s">
        <v>641</v>
      </c>
      <c r="C30" s="361" t="s">
        <v>678</v>
      </c>
      <c r="D30" s="365" t="s">
        <v>336</v>
      </c>
      <c r="F30" s="378"/>
    </row>
    <row r="31" spans="1:6" ht="12.75">
      <c r="A31" s="364">
        <v>1</v>
      </c>
      <c r="B31" s="361" t="s">
        <v>680</v>
      </c>
      <c r="C31" s="361" t="s">
        <v>678</v>
      </c>
      <c r="D31" s="365" t="s">
        <v>336</v>
      </c>
      <c r="F31" s="378"/>
    </row>
    <row r="32" spans="1:6" ht="12.75">
      <c r="A32" s="364">
        <v>1</v>
      </c>
      <c r="B32" s="361" t="s">
        <v>681</v>
      </c>
      <c r="C32" s="361" t="s">
        <v>660</v>
      </c>
      <c r="D32" s="365" t="s">
        <v>336</v>
      </c>
      <c r="F32" s="378"/>
    </row>
    <row r="33" spans="1:6" ht="12.75">
      <c r="A33" s="364">
        <v>1</v>
      </c>
      <c r="B33" s="361" t="s">
        <v>683</v>
      </c>
      <c r="C33" s="361" t="s">
        <v>658</v>
      </c>
      <c r="D33" s="365" t="s">
        <v>336</v>
      </c>
      <c r="F33" s="378"/>
    </row>
    <row r="34" spans="1:6" ht="12.75">
      <c r="A34" s="364">
        <v>1</v>
      </c>
      <c r="B34" s="361" t="s">
        <v>684</v>
      </c>
      <c r="C34" s="361" t="s">
        <v>658</v>
      </c>
      <c r="D34" s="365" t="s">
        <v>336</v>
      </c>
      <c r="F34" s="378"/>
    </row>
    <row r="35" spans="1:6" ht="12.75">
      <c r="A35" s="364">
        <v>1</v>
      </c>
      <c r="B35" s="361" t="s">
        <v>685</v>
      </c>
      <c r="C35" s="361" t="s">
        <v>666</v>
      </c>
      <c r="D35" s="365" t="s">
        <v>336</v>
      </c>
      <c r="F35" s="378"/>
    </row>
    <row r="36" spans="1:6" ht="12.75">
      <c r="A36" s="364">
        <v>1</v>
      </c>
      <c r="B36" s="361" t="s">
        <v>686</v>
      </c>
      <c r="C36" s="361" t="s">
        <v>678</v>
      </c>
      <c r="D36" s="361" t="s">
        <v>687</v>
      </c>
      <c r="F36" s="378"/>
    </row>
    <row r="37" spans="1:6" ht="12.75">
      <c r="A37" s="364">
        <v>1</v>
      </c>
      <c r="B37" s="361" t="s">
        <v>689</v>
      </c>
      <c r="C37" s="361" t="s">
        <v>678</v>
      </c>
      <c r="D37" s="365" t="s">
        <v>336</v>
      </c>
      <c r="F37" s="378"/>
    </row>
    <row r="38" spans="1:6" ht="12.75">
      <c r="A38" s="364">
        <v>1</v>
      </c>
      <c r="B38" s="361" t="s">
        <v>690</v>
      </c>
      <c r="C38" s="361" t="s">
        <v>678</v>
      </c>
      <c r="D38" s="365" t="s">
        <v>336</v>
      </c>
      <c r="F38" s="378"/>
    </row>
    <row r="39" spans="1:6" ht="12.75">
      <c r="A39" s="364">
        <v>1</v>
      </c>
      <c r="B39" s="361" t="s">
        <v>691</v>
      </c>
      <c r="C39" s="361" t="s">
        <v>678</v>
      </c>
      <c r="D39" s="365" t="s">
        <v>336</v>
      </c>
      <c r="F39" s="378"/>
    </row>
    <row r="40" spans="1:6" ht="12.75">
      <c r="A40" s="364">
        <v>1</v>
      </c>
      <c r="B40" s="361" t="s">
        <v>692</v>
      </c>
      <c r="C40" s="361" t="s">
        <v>666</v>
      </c>
      <c r="D40" s="361" t="s">
        <v>693</v>
      </c>
      <c r="F40" s="378"/>
    </row>
    <row r="41" spans="1:6" ht="12.75">
      <c r="A41" s="364">
        <v>2</v>
      </c>
      <c r="B41" s="361" t="s">
        <v>695</v>
      </c>
      <c r="C41" s="361" t="s">
        <v>653</v>
      </c>
      <c r="D41" s="361" t="s">
        <v>656</v>
      </c>
      <c r="F41" s="378"/>
    </row>
    <row r="42" spans="1:4" ht="12.75">
      <c r="A42" s="364">
        <v>2</v>
      </c>
      <c r="B42" s="361" t="s">
        <v>696</v>
      </c>
      <c r="C42" s="361" t="s">
        <v>658</v>
      </c>
      <c r="D42" s="361" t="s">
        <v>687</v>
      </c>
    </row>
    <row r="43" spans="1:4" ht="12.75">
      <c r="A43" s="364">
        <v>2</v>
      </c>
      <c r="B43" s="361" t="s">
        <v>697</v>
      </c>
      <c r="C43" s="361" t="s">
        <v>664</v>
      </c>
      <c r="D43" s="365" t="s">
        <v>336</v>
      </c>
    </row>
    <row r="44" spans="1:4" ht="12.75">
      <c r="A44" s="364">
        <v>2</v>
      </c>
      <c r="B44" s="361" t="s">
        <v>698</v>
      </c>
      <c r="C44" s="361" t="s">
        <v>658</v>
      </c>
      <c r="D44" s="365" t="s">
        <v>336</v>
      </c>
    </row>
    <row r="45" spans="1:4" ht="12.75">
      <c r="A45" s="364">
        <v>2</v>
      </c>
      <c r="B45" s="361" t="s">
        <v>699</v>
      </c>
      <c r="C45" s="361" t="s">
        <v>658</v>
      </c>
      <c r="D45" s="365" t="s">
        <v>336</v>
      </c>
    </row>
    <row r="46" spans="1:4" ht="12.75">
      <c r="A46" s="364">
        <v>2</v>
      </c>
      <c r="B46" s="361" t="s">
        <v>700</v>
      </c>
      <c r="C46" s="361" t="s">
        <v>653</v>
      </c>
      <c r="D46" s="361" t="s">
        <v>656</v>
      </c>
    </row>
    <row r="47" spans="1:4" ht="12.75">
      <c r="A47" s="364">
        <v>2</v>
      </c>
      <c r="B47" s="361" t="s">
        <v>701</v>
      </c>
      <c r="C47" s="361" t="s">
        <v>676</v>
      </c>
      <c r="D47" s="361" t="s">
        <v>659</v>
      </c>
    </row>
    <row r="48" spans="1:4" ht="12.75">
      <c r="A48" s="364">
        <v>2</v>
      </c>
      <c r="B48" s="361" t="s">
        <v>702</v>
      </c>
      <c r="C48" s="361" t="s">
        <v>666</v>
      </c>
      <c r="D48" s="365" t="s">
        <v>336</v>
      </c>
    </row>
    <row r="49" spans="1:4" ht="12.75">
      <c r="A49" s="364">
        <v>2</v>
      </c>
      <c r="B49" s="361" t="s">
        <v>703</v>
      </c>
      <c r="C49" s="361" t="s">
        <v>676</v>
      </c>
      <c r="D49" s="361" t="s">
        <v>703</v>
      </c>
    </row>
    <row r="50" spans="1:4" ht="12.75">
      <c r="A50" s="368">
        <v>2</v>
      </c>
      <c r="B50" s="369" t="s">
        <v>704</v>
      </c>
      <c r="C50" s="369" t="s">
        <v>660</v>
      </c>
      <c r="D50" s="369" t="s">
        <v>705</v>
      </c>
    </row>
    <row r="51" spans="1:4" ht="12.75">
      <c r="A51" s="364">
        <v>2</v>
      </c>
      <c r="B51" s="361" t="s">
        <v>706</v>
      </c>
      <c r="C51" s="361" t="s">
        <v>666</v>
      </c>
      <c r="D51" s="365" t="s">
        <v>336</v>
      </c>
    </row>
    <row r="52" spans="1:4" ht="12.75">
      <c r="A52" s="368">
        <v>2</v>
      </c>
      <c r="B52" s="369" t="s">
        <v>707</v>
      </c>
      <c r="C52" s="369" t="s">
        <v>676</v>
      </c>
      <c r="D52" s="369" t="s">
        <v>671</v>
      </c>
    </row>
    <row r="53" spans="1:4" ht="12.75">
      <c r="A53" s="364">
        <v>2</v>
      </c>
      <c r="B53" s="361" t="s">
        <v>708</v>
      </c>
      <c r="C53" s="361" t="s">
        <v>658</v>
      </c>
      <c r="D53" s="365" t="s">
        <v>336</v>
      </c>
    </row>
    <row r="54" spans="1:4" ht="12.75">
      <c r="A54" s="366">
        <v>2</v>
      </c>
      <c r="B54" s="367" t="s">
        <v>709</v>
      </c>
      <c r="C54" s="367" t="s">
        <v>653</v>
      </c>
      <c r="D54" s="367" t="s">
        <v>710</v>
      </c>
    </row>
    <row r="55" spans="1:4" ht="12.75">
      <c r="A55" s="364">
        <v>2</v>
      </c>
      <c r="B55" s="361" t="s">
        <v>711</v>
      </c>
      <c r="C55" s="361" t="s">
        <v>664</v>
      </c>
      <c r="D55" s="365" t="s">
        <v>336</v>
      </c>
    </row>
    <row r="56" spans="1:4" ht="12.75">
      <c r="A56" s="364">
        <v>2</v>
      </c>
      <c r="B56" s="361" t="s">
        <v>712</v>
      </c>
      <c r="C56" s="361" t="s">
        <v>660</v>
      </c>
      <c r="D56" s="365" t="s">
        <v>336</v>
      </c>
    </row>
    <row r="57" spans="1:4" ht="12.75">
      <c r="A57" s="364">
        <v>2</v>
      </c>
      <c r="B57" s="361" t="s">
        <v>713</v>
      </c>
      <c r="C57" s="361" t="s">
        <v>653</v>
      </c>
      <c r="D57" s="361" t="s">
        <v>656</v>
      </c>
    </row>
    <row r="58" spans="1:4" ht="12.75">
      <c r="A58" s="364">
        <v>2</v>
      </c>
      <c r="B58" s="361" t="s">
        <v>714</v>
      </c>
      <c r="C58" s="361" t="s">
        <v>660</v>
      </c>
      <c r="D58" s="365" t="s">
        <v>336</v>
      </c>
    </row>
    <row r="59" spans="1:4" ht="12.75">
      <c r="A59" s="364">
        <v>2</v>
      </c>
      <c r="B59" s="361" t="s">
        <v>715</v>
      </c>
      <c r="C59" s="361" t="s">
        <v>658</v>
      </c>
      <c r="D59" s="365" t="s">
        <v>336</v>
      </c>
    </row>
    <row r="60" spans="1:5" ht="12.75">
      <c r="A60" s="364">
        <v>2</v>
      </c>
      <c r="B60" s="361" t="s">
        <v>716</v>
      </c>
      <c r="C60" s="361" t="s">
        <v>658</v>
      </c>
      <c r="D60" s="365" t="s">
        <v>336</v>
      </c>
      <c r="E60" s="361" t="s">
        <v>662</v>
      </c>
    </row>
    <row r="61" spans="1:4" ht="12.75">
      <c r="A61" s="364">
        <v>2</v>
      </c>
      <c r="B61" s="361" t="s">
        <v>717</v>
      </c>
      <c r="C61" s="361" t="s">
        <v>666</v>
      </c>
      <c r="D61" s="365" t="s">
        <v>336</v>
      </c>
    </row>
    <row r="62" spans="1:4" ht="12.75">
      <c r="A62" s="364">
        <v>2</v>
      </c>
      <c r="B62" s="361" t="s">
        <v>718</v>
      </c>
      <c r="C62" s="361" t="s">
        <v>678</v>
      </c>
      <c r="D62" s="365" t="s">
        <v>336</v>
      </c>
    </row>
    <row r="63" spans="1:4" ht="12.75">
      <c r="A63" s="364">
        <v>2</v>
      </c>
      <c r="B63" s="361" t="s">
        <v>719</v>
      </c>
      <c r="C63" s="361" t="s">
        <v>666</v>
      </c>
      <c r="D63" s="365" t="s">
        <v>336</v>
      </c>
    </row>
    <row r="64" spans="1:4" ht="12.75">
      <c r="A64" s="366">
        <v>2</v>
      </c>
      <c r="B64" s="367" t="s">
        <v>720</v>
      </c>
      <c r="C64" s="367" t="s">
        <v>676</v>
      </c>
      <c r="D64" s="367" t="s">
        <v>721</v>
      </c>
    </row>
    <row r="65" spans="1:4" ht="12.75">
      <c r="A65" s="364">
        <v>2</v>
      </c>
      <c r="B65" s="361" t="s">
        <v>722</v>
      </c>
      <c r="C65" s="361" t="s">
        <v>678</v>
      </c>
      <c r="D65" s="365" t="s">
        <v>336</v>
      </c>
    </row>
    <row r="66" spans="1:4" ht="12.75">
      <c r="A66" s="364">
        <v>2</v>
      </c>
      <c r="B66" s="361" t="s">
        <v>723</v>
      </c>
      <c r="C66" s="361" t="s">
        <v>724</v>
      </c>
      <c r="D66" s="365" t="s">
        <v>336</v>
      </c>
    </row>
    <row r="67" spans="1:4" ht="12.75">
      <c r="A67" s="366">
        <v>2</v>
      </c>
      <c r="B67" s="367" t="s">
        <v>725</v>
      </c>
      <c r="C67" s="367" t="s">
        <v>676</v>
      </c>
      <c r="D67" s="367" t="s">
        <v>721</v>
      </c>
    </row>
    <row r="68" spans="1:4" ht="12.75">
      <c r="A68" s="364">
        <v>2</v>
      </c>
      <c r="B68" s="361" t="s">
        <v>726</v>
      </c>
      <c r="C68" s="361" t="s">
        <v>676</v>
      </c>
      <c r="D68" s="361" t="s">
        <v>727</v>
      </c>
    </row>
    <row r="69" spans="1:4" ht="12.75">
      <c r="A69" s="364">
        <v>2</v>
      </c>
      <c r="B69" s="361" t="s">
        <v>728</v>
      </c>
      <c r="C69" s="361" t="s">
        <v>664</v>
      </c>
      <c r="D69" s="365" t="s">
        <v>336</v>
      </c>
    </row>
    <row r="70" spans="1:4" ht="12.75">
      <c r="A70" s="364">
        <v>2</v>
      </c>
      <c r="B70" s="361" t="s">
        <v>729</v>
      </c>
      <c r="C70" s="361" t="s">
        <v>666</v>
      </c>
      <c r="D70" s="361" t="s">
        <v>693</v>
      </c>
    </row>
    <row r="71" spans="1:4" ht="12.75">
      <c r="A71" s="364">
        <v>2</v>
      </c>
      <c r="B71" s="361" t="s">
        <v>730</v>
      </c>
      <c r="C71" s="361" t="s">
        <v>678</v>
      </c>
      <c r="D71" s="365" t="s">
        <v>336</v>
      </c>
    </row>
    <row r="72" spans="1:4" ht="12.75">
      <c r="A72" s="364">
        <v>2</v>
      </c>
      <c r="B72" s="361" t="s">
        <v>731</v>
      </c>
      <c r="C72" s="361" t="s">
        <v>653</v>
      </c>
      <c r="D72" s="361" t="s">
        <v>656</v>
      </c>
    </row>
    <row r="79" spans="1:4" ht="12.75">
      <c r="A79" s="364">
        <v>3</v>
      </c>
      <c r="B79" s="367" t="s">
        <v>732</v>
      </c>
      <c r="C79" s="367" t="s">
        <v>658</v>
      </c>
      <c r="D79" s="367" t="s">
        <v>733</v>
      </c>
    </row>
    <row r="80" spans="1:4" ht="12.75">
      <c r="A80" s="368">
        <v>3</v>
      </c>
      <c r="B80" s="369" t="s">
        <v>734</v>
      </c>
      <c r="C80" s="369" t="s">
        <v>660</v>
      </c>
      <c r="D80" s="369" t="s">
        <v>671</v>
      </c>
    </row>
    <row r="81" spans="1:4" ht="12.75">
      <c r="A81" s="364">
        <v>3</v>
      </c>
      <c r="B81" s="361" t="s">
        <v>735</v>
      </c>
      <c r="C81" s="361" t="s">
        <v>660</v>
      </c>
      <c r="D81" s="365" t="s">
        <v>336</v>
      </c>
    </row>
    <row r="82" spans="1:6" ht="12.75">
      <c r="A82" s="364">
        <v>3</v>
      </c>
      <c r="B82" s="361" t="s">
        <v>736</v>
      </c>
      <c r="C82" s="361" t="s">
        <v>660</v>
      </c>
      <c r="D82" s="365" t="s">
        <v>336</v>
      </c>
      <c r="F82" s="369"/>
    </row>
    <row r="83" spans="1:4" ht="12.75">
      <c r="A83" s="368">
        <v>3</v>
      </c>
      <c r="B83" s="369" t="s">
        <v>737</v>
      </c>
      <c r="C83" s="369" t="s">
        <v>660</v>
      </c>
      <c r="D83" s="369" t="s">
        <v>671</v>
      </c>
    </row>
    <row r="84" spans="1:4" ht="12.75">
      <c r="A84" s="364">
        <v>3</v>
      </c>
      <c r="B84" s="361" t="s">
        <v>738</v>
      </c>
      <c r="C84" s="361" t="s">
        <v>676</v>
      </c>
      <c r="D84" s="361" t="s">
        <v>197</v>
      </c>
    </row>
    <row r="85" spans="1:4" ht="12.75">
      <c r="A85" s="364">
        <v>3</v>
      </c>
      <c r="B85" s="361" t="s">
        <v>739</v>
      </c>
      <c r="C85" s="361" t="s">
        <v>666</v>
      </c>
      <c r="D85" s="365" t="s">
        <v>336</v>
      </c>
    </row>
    <row r="86" spans="1:4" ht="12.75">
      <c r="A86" s="364">
        <v>3</v>
      </c>
      <c r="B86" s="361" t="s">
        <v>740</v>
      </c>
      <c r="C86" s="361" t="s">
        <v>666</v>
      </c>
      <c r="D86" s="365" t="s">
        <v>336</v>
      </c>
    </row>
    <row r="87" spans="1:4" ht="12.75">
      <c r="A87" s="364">
        <v>3</v>
      </c>
      <c r="B87" s="361" t="s">
        <v>741</v>
      </c>
      <c r="C87" s="361" t="s">
        <v>676</v>
      </c>
      <c r="D87" s="361" t="s">
        <v>197</v>
      </c>
    </row>
    <row r="88" spans="1:4" ht="12.75">
      <c r="A88" s="364">
        <v>3</v>
      </c>
      <c r="B88" s="361" t="s">
        <v>742</v>
      </c>
      <c r="C88" s="361" t="s">
        <v>676</v>
      </c>
      <c r="D88" s="361" t="s">
        <v>703</v>
      </c>
    </row>
    <row r="89" spans="1:6" ht="12.75">
      <c r="A89" s="364">
        <v>3</v>
      </c>
      <c r="B89" s="361" t="s">
        <v>743</v>
      </c>
      <c r="C89" s="361" t="s">
        <v>678</v>
      </c>
      <c r="D89" s="365" t="s">
        <v>336</v>
      </c>
      <c r="F89" s="369"/>
    </row>
    <row r="90" spans="1:4" ht="12.75">
      <c r="A90" s="364">
        <v>3</v>
      </c>
      <c r="B90" s="361" t="s">
        <v>744</v>
      </c>
      <c r="C90" s="361" t="s">
        <v>678</v>
      </c>
      <c r="D90" s="365" t="s">
        <v>336</v>
      </c>
    </row>
    <row r="91" spans="1:4" ht="12.75">
      <c r="A91" s="364">
        <v>3</v>
      </c>
      <c r="B91" s="361" t="s">
        <v>745</v>
      </c>
      <c r="C91" s="361" t="s">
        <v>676</v>
      </c>
      <c r="D91" s="365" t="s">
        <v>336</v>
      </c>
    </row>
    <row r="92" spans="1:4" ht="12.75">
      <c r="A92" s="364">
        <v>3</v>
      </c>
      <c r="B92" s="361" t="s">
        <v>746</v>
      </c>
      <c r="C92" s="361" t="s">
        <v>660</v>
      </c>
      <c r="D92" s="365" t="s">
        <v>336</v>
      </c>
    </row>
    <row r="93" spans="1:4" ht="12.75">
      <c r="A93" s="364">
        <v>3</v>
      </c>
      <c r="B93" s="361" t="s">
        <v>747</v>
      </c>
      <c r="C93" s="361" t="s">
        <v>676</v>
      </c>
      <c r="D93" s="365" t="s">
        <v>336</v>
      </c>
    </row>
    <row r="94" spans="1:4" ht="12.75">
      <c r="A94" s="364">
        <v>3</v>
      </c>
      <c r="B94" s="361" t="s">
        <v>748</v>
      </c>
      <c r="C94" s="361" t="s">
        <v>664</v>
      </c>
      <c r="D94" s="365" t="s">
        <v>336</v>
      </c>
    </row>
    <row r="95" spans="1:4" ht="12.75">
      <c r="A95" s="364">
        <v>3</v>
      </c>
      <c r="B95" s="361" t="s">
        <v>749</v>
      </c>
      <c r="C95" s="361" t="s">
        <v>678</v>
      </c>
      <c r="D95" s="361" t="s">
        <v>687</v>
      </c>
    </row>
    <row r="96" spans="1:4" ht="12.75">
      <c r="A96" s="364">
        <v>3</v>
      </c>
      <c r="B96" s="361" t="s">
        <v>750</v>
      </c>
      <c r="C96" s="361" t="s">
        <v>658</v>
      </c>
      <c r="D96" s="365" t="s">
        <v>336</v>
      </c>
    </row>
    <row r="97" spans="1:4" ht="12.75">
      <c r="A97" s="364">
        <v>3</v>
      </c>
      <c r="B97" s="361" t="s">
        <v>751</v>
      </c>
      <c r="C97" s="361" t="s">
        <v>658</v>
      </c>
      <c r="D97" s="361" t="s">
        <v>752</v>
      </c>
    </row>
    <row r="98" spans="1:4" ht="12.75">
      <c r="A98" s="364">
        <v>3</v>
      </c>
      <c r="B98" s="361" t="s">
        <v>753</v>
      </c>
      <c r="C98" s="361" t="s">
        <v>678</v>
      </c>
      <c r="D98" s="365" t="s">
        <v>336</v>
      </c>
    </row>
    <row r="99" spans="1:4" ht="12.75">
      <c r="A99" s="364">
        <v>3</v>
      </c>
      <c r="B99" s="361" t="s">
        <v>754</v>
      </c>
      <c r="C99" s="361" t="s">
        <v>653</v>
      </c>
      <c r="D99" s="361" t="s">
        <v>656</v>
      </c>
    </row>
    <row r="100" spans="1:4" ht="12.75">
      <c r="A100" s="364">
        <v>3</v>
      </c>
      <c r="B100" s="361" t="s">
        <v>755</v>
      </c>
      <c r="C100" s="361" t="s">
        <v>678</v>
      </c>
      <c r="D100" s="365" t="s">
        <v>336</v>
      </c>
    </row>
    <row r="101" spans="1:4" ht="12.75">
      <c r="A101" s="364">
        <v>3</v>
      </c>
      <c r="B101" s="361" t="s">
        <v>756</v>
      </c>
      <c r="C101" s="361" t="s">
        <v>666</v>
      </c>
      <c r="D101" s="365" t="s">
        <v>336</v>
      </c>
    </row>
    <row r="102" spans="1:4" ht="12.75">
      <c r="A102" s="364">
        <v>3</v>
      </c>
      <c r="B102" s="361" t="s">
        <v>757</v>
      </c>
      <c r="C102" s="361" t="s">
        <v>678</v>
      </c>
      <c r="D102" s="365" t="s">
        <v>336</v>
      </c>
    </row>
    <row r="103" spans="1:4" ht="12.75">
      <c r="A103" s="364">
        <v>3</v>
      </c>
      <c r="B103" s="361" t="s">
        <v>758</v>
      </c>
      <c r="C103" s="361" t="s">
        <v>666</v>
      </c>
      <c r="D103" s="365" t="s">
        <v>336</v>
      </c>
    </row>
    <row r="104" spans="1:4" ht="12.75">
      <c r="A104" s="364">
        <v>3</v>
      </c>
      <c r="B104" s="361" t="s">
        <v>759</v>
      </c>
      <c r="C104" s="361" t="s">
        <v>676</v>
      </c>
      <c r="D104" s="365" t="s">
        <v>336</v>
      </c>
    </row>
    <row r="105" spans="1:5" ht="12.75">
      <c r="A105" s="364">
        <v>3</v>
      </c>
      <c r="B105" s="361" t="s">
        <v>760</v>
      </c>
      <c r="C105" s="361" t="s">
        <v>660</v>
      </c>
      <c r="D105" s="365" t="s">
        <v>336</v>
      </c>
      <c r="E105" s="361" t="s">
        <v>662</v>
      </c>
    </row>
    <row r="106" spans="1:4" ht="12.75">
      <c r="A106" s="364">
        <v>3</v>
      </c>
      <c r="B106" s="361" t="s">
        <v>571</v>
      </c>
      <c r="C106" s="361" t="s">
        <v>658</v>
      </c>
      <c r="D106" s="361" t="s">
        <v>752</v>
      </c>
    </row>
    <row r="107" spans="1:4" ht="12.75">
      <c r="A107" s="364">
        <v>3</v>
      </c>
      <c r="B107" s="361" t="s">
        <v>761</v>
      </c>
      <c r="C107" s="361" t="s">
        <v>666</v>
      </c>
      <c r="D107" s="361" t="s">
        <v>693</v>
      </c>
    </row>
    <row r="108" spans="1:4" ht="12.75">
      <c r="A108" s="364">
        <v>3</v>
      </c>
      <c r="B108" s="361" t="s">
        <v>762</v>
      </c>
      <c r="C108" s="361" t="s">
        <v>658</v>
      </c>
      <c r="D108" s="365" t="s">
        <v>336</v>
      </c>
    </row>
    <row r="109" spans="1:4" ht="12.75">
      <c r="A109" s="366">
        <v>3</v>
      </c>
      <c r="B109" s="367" t="s">
        <v>763</v>
      </c>
      <c r="C109" s="367" t="s">
        <v>658</v>
      </c>
      <c r="D109" s="367" t="s">
        <v>667</v>
      </c>
    </row>
    <row r="110" spans="1:4" ht="12.75">
      <c r="A110" s="366">
        <v>3</v>
      </c>
      <c r="B110" s="367" t="s">
        <v>764</v>
      </c>
      <c r="C110" s="367" t="s">
        <v>676</v>
      </c>
      <c r="D110" s="367" t="s">
        <v>733</v>
      </c>
    </row>
    <row r="111" spans="1:4" ht="12.75">
      <c r="A111" s="366">
        <v>4</v>
      </c>
      <c r="B111" s="367" t="s">
        <v>765</v>
      </c>
      <c r="C111" s="367" t="s">
        <v>658</v>
      </c>
      <c r="D111" s="367" t="s">
        <v>733</v>
      </c>
    </row>
    <row r="112" spans="1:4" ht="12.75">
      <c r="A112" s="366">
        <v>4</v>
      </c>
      <c r="B112" s="367" t="s">
        <v>766</v>
      </c>
      <c r="C112" s="367" t="s">
        <v>658</v>
      </c>
      <c r="D112" s="367" t="s">
        <v>667</v>
      </c>
    </row>
    <row r="113" spans="1:4" ht="12.75">
      <c r="A113" s="364">
        <v>4</v>
      </c>
      <c r="B113" s="361" t="s">
        <v>767</v>
      </c>
      <c r="C113" s="361" t="s">
        <v>666</v>
      </c>
      <c r="D113" s="365" t="s">
        <v>336</v>
      </c>
    </row>
    <row r="114" spans="1:4" ht="12.75">
      <c r="A114" s="364">
        <v>4</v>
      </c>
      <c r="B114" s="361" t="s">
        <v>768</v>
      </c>
      <c r="C114" s="361" t="s">
        <v>660</v>
      </c>
      <c r="D114" s="365" t="s">
        <v>336</v>
      </c>
    </row>
    <row r="115" spans="1:4" ht="12.75">
      <c r="A115" s="364">
        <v>4</v>
      </c>
      <c r="B115" s="361" t="s">
        <v>769</v>
      </c>
      <c r="C115" s="361" t="s">
        <v>678</v>
      </c>
      <c r="D115" s="365" t="s">
        <v>336</v>
      </c>
    </row>
    <row r="116" spans="1:4" ht="12.75">
      <c r="A116" s="364">
        <v>4</v>
      </c>
      <c r="B116" s="361" t="s">
        <v>770</v>
      </c>
      <c r="C116" s="361" t="s">
        <v>664</v>
      </c>
      <c r="D116" s="365" t="s">
        <v>336</v>
      </c>
    </row>
    <row r="117" spans="1:4" ht="12.75">
      <c r="A117" s="364">
        <v>4</v>
      </c>
      <c r="B117" s="361" t="s">
        <v>771</v>
      </c>
      <c r="C117" s="361" t="s">
        <v>678</v>
      </c>
      <c r="D117" s="365" t="s">
        <v>336</v>
      </c>
    </row>
    <row r="118" spans="1:4" ht="12.75">
      <c r="A118" s="364">
        <v>4</v>
      </c>
      <c r="B118" s="361" t="s">
        <v>664</v>
      </c>
      <c r="C118" s="361" t="s">
        <v>664</v>
      </c>
      <c r="D118" s="365" t="s">
        <v>336</v>
      </c>
    </row>
    <row r="119" spans="1:4" ht="12.75">
      <c r="A119" s="364">
        <v>4</v>
      </c>
      <c r="B119" s="361" t="s">
        <v>772</v>
      </c>
      <c r="C119" s="361" t="s">
        <v>676</v>
      </c>
      <c r="D119" s="365" t="s">
        <v>336</v>
      </c>
    </row>
    <row r="120" spans="1:4" ht="12.75">
      <c r="A120" s="364">
        <v>4</v>
      </c>
      <c r="B120" s="361" t="s">
        <v>773</v>
      </c>
      <c r="C120" s="361" t="s">
        <v>678</v>
      </c>
      <c r="D120" s="365" t="s">
        <v>336</v>
      </c>
    </row>
    <row r="121" spans="1:4" ht="12.75">
      <c r="A121" s="364">
        <v>4</v>
      </c>
      <c r="B121" s="361" t="s">
        <v>774</v>
      </c>
      <c r="C121" s="361" t="s">
        <v>658</v>
      </c>
      <c r="D121" s="365" t="s">
        <v>336</v>
      </c>
    </row>
    <row r="122" spans="1:4" ht="12.75">
      <c r="A122" s="364">
        <v>4</v>
      </c>
      <c r="B122" s="361" t="s">
        <v>775</v>
      </c>
      <c r="C122" s="361" t="s">
        <v>676</v>
      </c>
      <c r="D122" s="365" t="s">
        <v>336</v>
      </c>
    </row>
    <row r="123" spans="1:4" ht="12.75">
      <c r="A123" s="364">
        <v>4</v>
      </c>
      <c r="B123" s="361" t="s">
        <v>776</v>
      </c>
      <c r="C123" s="361" t="s">
        <v>660</v>
      </c>
      <c r="D123" s="365" t="s">
        <v>336</v>
      </c>
    </row>
    <row r="124" spans="1:4" ht="12.75">
      <c r="A124" s="364">
        <v>4</v>
      </c>
      <c r="B124" s="361" t="s">
        <v>777</v>
      </c>
      <c r="C124" s="361" t="s">
        <v>658</v>
      </c>
      <c r="D124" s="365" t="s">
        <v>336</v>
      </c>
    </row>
    <row r="125" spans="1:4" ht="12.75">
      <c r="A125" s="364">
        <v>4</v>
      </c>
      <c r="B125" s="361" t="s">
        <v>778</v>
      </c>
      <c r="C125" s="361" t="s">
        <v>666</v>
      </c>
      <c r="D125" s="365" t="s">
        <v>336</v>
      </c>
    </row>
    <row r="126" spans="1:4" ht="12.75">
      <c r="A126" s="364">
        <v>4</v>
      </c>
      <c r="B126" s="361" t="s">
        <v>779</v>
      </c>
      <c r="C126" s="361" t="s">
        <v>666</v>
      </c>
      <c r="D126" s="361" t="s">
        <v>693</v>
      </c>
    </row>
    <row r="127" spans="1:4" ht="12.75">
      <c r="A127" s="364">
        <v>4</v>
      </c>
      <c r="B127" s="361" t="s">
        <v>780</v>
      </c>
      <c r="C127" s="361" t="s">
        <v>660</v>
      </c>
      <c r="D127" s="365" t="s">
        <v>336</v>
      </c>
    </row>
    <row r="128" spans="1:4" ht="12.75">
      <c r="A128" s="364">
        <v>4</v>
      </c>
      <c r="B128" s="361" t="s">
        <v>781</v>
      </c>
      <c r="C128" s="361" t="s">
        <v>678</v>
      </c>
      <c r="D128" s="365" t="s">
        <v>336</v>
      </c>
    </row>
    <row r="129" spans="1:4" ht="12.75">
      <c r="A129" s="364">
        <v>4</v>
      </c>
      <c r="B129" s="361" t="s">
        <v>782</v>
      </c>
      <c r="C129" s="361" t="s">
        <v>666</v>
      </c>
      <c r="D129" s="365" t="s">
        <v>336</v>
      </c>
    </row>
    <row r="130" spans="1:4" ht="12.75">
      <c r="A130" s="364">
        <v>4</v>
      </c>
      <c r="B130" s="361" t="s">
        <v>783</v>
      </c>
      <c r="C130" s="361" t="s">
        <v>676</v>
      </c>
      <c r="D130" s="365" t="s">
        <v>336</v>
      </c>
    </row>
    <row r="131" spans="1:4" ht="12.75">
      <c r="A131" s="364">
        <v>4</v>
      </c>
      <c r="B131" s="361" t="s">
        <v>784</v>
      </c>
      <c r="C131" s="361" t="s">
        <v>678</v>
      </c>
      <c r="D131" s="365" t="s">
        <v>336</v>
      </c>
    </row>
    <row r="132" spans="1:4" ht="12.75">
      <c r="A132" s="364">
        <v>4</v>
      </c>
      <c r="B132" s="361" t="s">
        <v>785</v>
      </c>
      <c r="C132" s="361" t="s">
        <v>666</v>
      </c>
      <c r="D132" s="361" t="s">
        <v>693</v>
      </c>
    </row>
    <row r="133" spans="1:4" ht="12.75">
      <c r="A133" s="364">
        <v>4</v>
      </c>
      <c r="B133" s="361" t="s">
        <v>786</v>
      </c>
      <c r="C133" s="361" t="s">
        <v>664</v>
      </c>
      <c r="D133" s="365" t="s">
        <v>336</v>
      </c>
    </row>
    <row r="134" spans="1:4" ht="12.75">
      <c r="A134" s="364">
        <v>5</v>
      </c>
      <c r="B134" s="361" t="s">
        <v>787</v>
      </c>
      <c r="C134" s="361" t="s">
        <v>678</v>
      </c>
      <c r="D134" s="365" t="s">
        <v>336</v>
      </c>
    </row>
    <row r="135" spans="1:4" ht="12.75">
      <c r="A135" s="364">
        <v>5</v>
      </c>
      <c r="B135" s="361" t="s">
        <v>788</v>
      </c>
      <c r="C135" s="361" t="s">
        <v>678</v>
      </c>
      <c r="D135" s="365" t="s">
        <v>336</v>
      </c>
    </row>
    <row r="136" spans="1:5" ht="12.75">
      <c r="A136" s="364">
        <v>5</v>
      </c>
      <c r="B136" s="361" t="s">
        <v>789</v>
      </c>
      <c r="C136" s="361" t="s">
        <v>653</v>
      </c>
      <c r="D136" s="361" t="s">
        <v>656</v>
      </c>
      <c r="E136" s="361" t="s">
        <v>662</v>
      </c>
    </row>
    <row r="137" spans="1:4" ht="12.75">
      <c r="A137" s="364">
        <v>5</v>
      </c>
      <c r="B137" s="361" t="s">
        <v>790</v>
      </c>
      <c r="C137" s="361" t="s">
        <v>664</v>
      </c>
      <c r="D137" s="365" t="s">
        <v>336</v>
      </c>
    </row>
    <row r="138" spans="1:4" ht="12.75">
      <c r="A138" s="364">
        <v>5</v>
      </c>
      <c r="B138" s="361" t="s">
        <v>791</v>
      </c>
      <c r="C138" s="361" t="s">
        <v>666</v>
      </c>
      <c r="D138" s="365" t="s">
        <v>336</v>
      </c>
    </row>
    <row r="139" spans="1:4" ht="12.75">
      <c r="A139" s="364">
        <v>5</v>
      </c>
      <c r="B139" s="361" t="s">
        <v>792</v>
      </c>
      <c r="C139" s="361" t="s">
        <v>660</v>
      </c>
      <c r="D139" s="365" t="s">
        <v>336</v>
      </c>
    </row>
    <row r="140" spans="1:4" ht="12.75">
      <c r="A140" s="364">
        <v>5</v>
      </c>
      <c r="B140" s="361" t="s">
        <v>793</v>
      </c>
      <c r="C140" s="361" t="s">
        <v>666</v>
      </c>
      <c r="D140" s="365" t="s">
        <v>336</v>
      </c>
    </row>
    <row r="141" spans="1:4" ht="12.75">
      <c r="A141" s="364">
        <v>5</v>
      </c>
      <c r="B141" s="361" t="s">
        <v>794</v>
      </c>
      <c r="C141" s="361" t="s">
        <v>660</v>
      </c>
      <c r="D141" s="365" t="s">
        <v>336</v>
      </c>
    </row>
    <row r="142" spans="1:4" ht="12.75">
      <c r="A142" s="364">
        <v>5</v>
      </c>
      <c r="B142" s="361" t="s">
        <v>795</v>
      </c>
      <c r="C142" s="361" t="s">
        <v>666</v>
      </c>
      <c r="D142" s="365" t="s">
        <v>336</v>
      </c>
    </row>
    <row r="143" spans="1:4" ht="12.75">
      <c r="A143" s="364">
        <v>5</v>
      </c>
      <c r="B143" s="361" t="s">
        <v>796</v>
      </c>
      <c r="C143" s="361" t="s">
        <v>666</v>
      </c>
      <c r="D143" s="365" t="s">
        <v>336</v>
      </c>
    </row>
    <row r="144" spans="1:4" ht="12.75">
      <c r="A144" s="364">
        <v>5</v>
      </c>
      <c r="B144" s="361" t="s">
        <v>797</v>
      </c>
      <c r="C144" s="361" t="s">
        <v>658</v>
      </c>
      <c r="D144" s="365" t="s">
        <v>336</v>
      </c>
    </row>
    <row r="145" spans="1:4" ht="12.75">
      <c r="A145" s="364">
        <v>5</v>
      </c>
      <c r="B145" s="361" t="s">
        <v>798</v>
      </c>
      <c r="C145" s="361" t="s">
        <v>664</v>
      </c>
      <c r="D145" s="365" t="s">
        <v>336</v>
      </c>
    </row>
    <row r="146" spans="1:4" ht="12.75">
      <c r="A146" s="364">
        <v>5</v>
      </c>
      <c r="B146" s="361" t="s">
        <v>799</v>
      </c>
      <c r="C146" s="361" t="s">
        <v>660</v>
      </c>
      <c r="D146" s="361" t="s">
        <v>800</v>
      </c>
    </row>
    <row r="147" spans="1:4" ht="12.75">
      <c r="A147" s="364">
        <v>5</v>
      </c>
      <c r="B147" s="361" t="s">
        <v>481</v>
      </c>
      <c r="C147" s="361" t="s">
        <v>678</v>
      </c>
      <c r="D147" s="365" t="s">
        <v>336</v>
      </c>
    </row>
    <row r="148" spans="1:4" ht="12.75">
      <c r="A148" s="364">
        <v>5</v>
      </c>
      <c r="B148" s="361" t="s">
        <v>801</v>
      </c>
      <c r="C148" s="361" t="s">
        <v>666</v>
      </c>
      <c r="D148" s="361" t="s">
        <v>693</v>
      </c>
    </row>
    <row r="149" spans="1:4" ht="12.75">
      <c r="A149" s="368">
        <v>5</v>
      </c>
      <c r="B149" s="369" t="s">
        <v>802</v>
      </c>
      <c r="C149" s="369" t="s">
        <v>660</v>
      </c>
      <c r="D149" s="369" t="s">
        <v>671</v>
      </c>
    </row>
    <row r="150" spans="1:4" ht="12.75">
      <c r="A150" s="364">
        <v>5</v>
      </c>
      <c r="B150" s="361" t="s">
        <v>803</v>
      </c>
      <c r="C150" s="361" t="s">
        <v>653</v>
      </c>
      <c r="D150" s="361" t="s">
        <v>656</v>
      </c>
    </row>
    <row r="151" spans="1:4" ht="12.75">
      <c r="A151" s="364">
        <v>5</v>
      </c>
      <c r="B151" s="361" t="s">
        <v>804</v>
      </c>
      <c r="C151" s="361" t="s">
        <v>664</v>
      </c>
      <c r="D151" s="365" t="s">
        <v>336</v>
      </c>
    </row>
    <row r="152" spans="1:4" ht="12.75">
      <c r="A152" s="368">
        <v>5</v>
      </c>
      <c r="B152" s="369" t="s">
        <v>805</v>
      </c>
      <c r="C152" s="369" t="s">
        <v>676</v>
      </c>
      <c r="D152" s="369" t="s">
        <v>671</v>
      </c>
    </row>
    <row r="153" spans="1:4" ht="12.75">
      <c r="A153" s="364">
        <v>5</v>
      </c>
      <c r="B153" s="361" t="s">
        <v>806</v>
      </c>
      <c r="C153" s="361" t="s">
        <v>666</v>
      </c>
      <c r="D153" s="361" t="s">
        <v>752</v>
      </c>
    </row>
    <row r="154" spans="1:4" ht="12.75">
      <c r="A154" s="364">
        <v>6</v>
      </c>
      <c r="B154" s="361" t="s">
        <v>807</v>
      </c>
      <c r="C154" s="361" t="s">
        <v>658</v>
      </c>
      <c r="D154" s="365" t="s">
        <v>336</v>
      </c>
    </row>
    <row r="155" spans="1:4" ht="12.75">
      <c r="A155" s="364">
        <v>6</v>
      </c>
      <c r="B155" s="361" t="s">
        <v>808</v>
      </c>
      <c r="C155" s="361" t="s">
        <v>678</v>
      </c>
      <c r="D155" s="365" t="s">
        <v>336</v>
      </c>
    </row>
    <row r="156" spans="1:4" ht="12.75">
      <c r="A156" s="364">
        <v>6</v>
      </c>
      <c r="B156" s="361" t="s">
        <v>809</v>
      </c>
      <c r="C156" s="361" t="s">
        <v>678</v>
      </c>
      <c r="D156" s="365" t="s">
        <v>336</v>
      </c>
    </row>
    <row r="157" spans="1:4" ht="12.75">
      <c r="A157" s="364">
        <v>6</v>
      </c>
      <c r="B157" s="361" t="s">
        <v>810</v>
      </c>
      <c r="C157" s="361" t="s">
        <v>658</v>
      </c>
      <c r="D157" s="365" t="s">
        <v>336</v>
      </c>
    </row>
    <row r="158" spans="1:4" ht="12.75">
      <c r="A158" s="364">
        <v>6</v>
      </c>
      <c r="B158" s="361" t="s">
        <v>811</v>
      </c>
      <c r="C158" s="361" t="s">
        <v>676</v>
      </c>
      <c r="D158" s="361" t="s">
        <v>727</v>
      </c>
    </row>
    <row r="159" spans="1:4" ht="12.75">
      <c r="A159" s="364">
        <v>6</v>
      </c>
      <c r="B159" s="361" t="s">
        <v>812</v>
      </c>
      <c r="C159" s="361" t="s">
        <v>658</v>
      </c>
      <c r="D159" s="365" t="s">
        <v>336</v>
      </c>
    </row>
    <row r="160" spans="1:4" ht="12.75">
      <c r="A160" s="368">
        <v>6</v>
      </c>
      <c r="B160" s="369" t="s">
        <v>813</v>
      </c>
      <c r="C160" s="369" t="s">
        <v>660</v>
      </c>
      <c r="D160" s="369" t="s">
        <v>671</v>
      </c>
    </row>
    <row r="161" spans="1:4" ht="12.75">
      <c r="A161" s="364">
        <v>6</v>
      </c>
      <c r="B161" s="361" t="s">
        <v>814</v>
      </c>
      <c r="C161" s="361" t="s">
        <v>666</v>
      </c>
      <c r="D161" s="365" t="s">
        <v>336</v>
      </c>
    </row>
    <row r="162" spans="1:4" ht="12.75">
      <c r="A162" s="364">
        <v>6</v>
      </c>
      <c r="B162" s="361" t="s">
        <v>815</v>
      </c>
      <c r="C162" s="361" t="s">
        <v>678</v>
      </c>
      <c r="D162" s="365" t="s">
        <v>336</v>
      </c>
    </row>
    <row r="163" spans="1:4" ht="12.75">
      <c r="A163" s="364">
        <v>6</v>
      </c>
      <c r="B163" s="361" t="s">
        <v>816</v>
      </c>
      <c r="C163" s="361" t="s">
        <v>658</v>
      </c>
      <c r="D163" s="365" t="s">
        <v>336</v>
      </c>
    </row>
    <row r="164" spans="1:4" ht="12.75">
      <c r="A164" s="364">
        <v>6</v>
      </c>
      <c r="B164" s="361" t="s">
        <v>817</v>
      </c>
      <c r="C164" s="361" t="s">
        <v>664</v>
      </c>
      <c r="D164" s="365" t="s">
        <v>336</v>
      </c>
    </row>
    <row r="165" spans="1:4" ht="12.75">
      <c r="A165" s="364">
        <v>6</v>
      </c>
      <c r="B165" s="361" t="s">
        <v>818</v>
      </c>
      <c r="C165" s="361" t="s">
        <v>678</v>
      </c>
      <c r="D165" s="365" t="s">
        <v>336</v>
      </c>
    </row>
    <row r="166" spans="1:5" ht="12.75">
      <c r="A166" s="364">
        <v>6</v>
      </c>
      <c r="B166" s="361" t="s">
        <v>819</v>
      </c>
      <c r="C166" s="361" t="s">
        <v>653</v>
      </c>
      <c r="D166" s="361" t="s">
        <v>656</v>
      </c>
      <c r="E166" s="361" t="s">
        <v>662</v>
      </c>
    </row>
    <row r="167" spans="1:4" ht="12.75">
      <c r="A167" s="364">
        <v>6</v>
      </c>
      <c r="B167" s="361" t="s">
        <v>820</v>
      </c>
      <c r="C167" s="361" t="s">
        <v>678</v>
      </c>
      <c r="D167" s="365" t="s">
        <v>336</v>
      </c>
    </row>
    <row r="168" spans="1:4" ht="12.75">
      <c r="A168" s="364">
        <v>6</v>
      </c>
      <c r="B168" s="361" t="s">
        <v>821</v>
      </c>
      <c r="C168" s="361" t="s">
        <v>660</v>
      </c>
      <c r="D168" s="365" t="s">
        <v>336</v>
      </c>
    </row>
    <row r="169" spans="1:4" ht="12.75">
      <c r="A169" s="364">
        <v>6</v>
      </c>
      <c r="B169" s="361" t="s">
        <v>181</v>
      </c>
      <c r="C169" s="361" t="s">
        <v>666</v>
      </c>
      <c r="D169" s="365" t="s">
        <v>336</v>
      </c>
    </row>
    <row r="170" spans="1:4" ht="12.75">
      <c r="A170" s="364">
        <v>6</v>
      </c>
      <c r="B170" s="361" t="s">
        <v>822</v>
      </c>
      <c r="C170" s="361" t="s">
        <v>666</v>
      </c>
      <c r="D170" s="361" t="s">
        <v>823</v>
      </c>
    </row>
    <row r="171" spans="1:4" ht="12.75">
      <c r="A171" s="364">
        <v>6</v>
      </c>
      <c r="B171" s="361" t="s">
        <v>824</v>
      </c>
      <c r="C171" s="361" t="s">
        <v>660</v>
      </c>
      <c r="D171" s="365" t="s">
        <v>336</v>
      </c>
    </row>
    <row r="172" spans="1:4" ht="12.75">
      <c r="A172" s="364">
        <v>6</v>
      </c>
      <c r="B172" s="361" t="s">
        <v>825</v>
      </c>
      <c r="C172" s="361" t="s">
        <v>658</v>
      </c>
      <c r="D172" s="365" t="s">
        <v>336</v>
      </c>
    </row>
    <row r="173" spans="1:4" ht="12.75">
      <c r="A173" s="364">
        <v>6</v>
      </c>
      <c r="B173" s="361" t="s">
        <v>826</v>
      </c>
      <c r="C173" s="361" t="s">
        <v>666</v>
      </c>
      <c r="D173" s="361" t="s">
        <v>693</v>
      </c>
    </row>
    <row r="174" spans="1:4" ht="12.75">
      <c r="A174" s="364">
        <v>6</v>
      </c>
      <c r="B174" s="361" t="s">
        <v>827</v>
      </c>
      <c r="C174" s="361" t="s">
        <v>666</v>
      </c>
      <c r="D174" s="361" t="s">
        <v>693</v>
      </c>
    </row>
    <row r="175" spans="1:4" ht="12.75">
      <c r="A175" s="364">
        <v>6</v>
      </c>
      <c r="B175" s="361" t="s">
        <v>828</v>
      </c>
      <c r="C175" s="361" t="s">
        <v>660</v>
      </c>
      <c r="D175" s="361" t="s">
        <v>654</v>
      </c>
    </row>
    <row r="176" spans="1:4" ht="12.75">
      <c r="A176" s="364">
        <v>6</v>
      </c>
      <c r="B176" s="361" t="s">
        <v>829</v>
      </c>
      <c r="C176" s="361" t="s">
        <v>653</v>
      </c>
      <c r="D176" s="361" t="s">
        <v>656</v>
      </c>
    </row>
    <row r="177" spans="1:4" ht="12.75">
      <c r="A177" s="364">
        <v>6</v>
      </c>
      <c r="B177" s="361" t="s">
        <v>830</v>
      </c>
      <c r="C177" s="361" t="s">
        <v>660</v>
      </c>
      <c r="D177" s="365" t="s">
        <v>336</v>
      </c>
    </row>
    <row r="178" spans="1:4" ht="12.75">
      <c r="A178" s="366">
        <v>6</v>
      </c>
      <c r="B178" s="367" t="s">
        <v>831</v>
      </c>
      <c r="C178" s="367" t="s">
        <v>658</v>
      </c>
      <c r="D178" s="367" t="s">
        <v>733</v>
      </c>
    </row>
    <row r="179" spans="1:4" ht="12.75">
      <c r="A179" s="364">
        <v>6</v>
      </c>
      <c r="B179" s="361" t="s">
        <v>832</v>
      </c>
      <c r="C179" s="361" t="s">
        <v>666</v>
      </c>
      <c r="D179" s="365" t="s">
        <v>336</v>
      </c>
    </row>
    <row r="180" spans="1:4" ht="12.75">
      <c r="A180" s="366">
        <v>7</v>
      </c>
      <c r="B180" s="367" t="s">
        <v>833</v>
      </c>
      <c r="C180" s="367" t="s">
        <v>676</v>
      </c>
      <c r="D180" s="367" t="s">
        <v>834</v>
      </c>
    </row>
    <row r="181" spans="1:4" ht="12.75">
      <c r="A181" s="364">
        <v>7</v>
      </c>
      <c r="B181" s="361" t="s">
        <v>835</v>
      </c>
      <c r="C181" s="361" t="s">
        <v>658</v>
      </c>
      <c r="D181" s="365" t="s">
        <v>336</v>
      </c>
    </row>
    <row r="182" spans="1:4" ht="12.75">
      <c r="A182" s="364">
        <v>7</v>
      </c>
      <c r="B182" s="361" t="s">
        <v>836</v>
      </c>
      <c r="C182" s="361" t="s">
        <v>666</v>
      </c>
      <c r="D182" s="365" t="s">
        <v>336</v>
      </c>
    </row>
    <row r="183" spans="1:4" ht="12.75">
      <c r="A183" s="364">
        <v>7</v>
      </c>
      <c r="B183" s="361" t="s">
        <v>837</v>
      </c>
      <c r="C183" s="361" t="s">
        <v>660</v>
      </c>
      <c r="D183" s="361" t="s">
        <v>800</v>
      </c>
    </row>
    <row r="184" spans="1:4" ht="12.75">
      <c r="A184" s="366">
        <v>7</v>
      </c>
      <c r="B184" s="367" t="s">
        <v>838</v>
      </c>
      <c r="C184" s="367" t="s">
        <v>676</v>
      </c>
      <c r="D184" s="367" t="s">
        <v>839</v>
      </c>
    </row>
    <row r="185" spans="1:4" ht="12.75">
      <c r="A185" s="364">
        <v>7</v>
      </c>
      <c r="B185" s="361" t="s">
        <v>840</v>
      </c>
      <c r="C185" s="361" t="s">
        <v>658</v>
      </c>
      <c r="D185" s="365" t="s">
        <v>336</v>
      </c>
    </row>
    <row r="186" spans="1:4" ht="12.75">
      <c r="A186" s="366">
        <v>7</v>
      </c>
      <c r="B186" s="367" t="s">
        <v>841</v>
      </c>
      <c r="C186" s="367" t="s">
        <v>676</v>
      </c>
      <c r="D186" s="367" t="s">
        <v>842</v>
      </c>
    </row>
    <row r="187" spans="1:4" ht="12.75">
      <c r="A187" s="364">
        <v>7</v>
      </c>
      <c r="B187" s="361" t="s">
        <v>843</v>
      </c>
      <c r="C187" s="361" t="s">
        <v>660</v>
      </c>
      <c r="D187" s="365" t="s">
        <v>336</v>
      </c>
    </row>
    <row r="188" spans="1:4" ht="12.75">
      <c r="A188" s="364">
        <v>7</v>
      </c>
      <c r="B188" s="361" t="s">
        <v>844</v>
      </c>
      <c r="C188" s="361" t="s">
        <v>666</v>
      </c>
      <c r="D188" s="365" t="s">
        <v>336</v>
      </c>
    </row>
    <row r="189" spans="1:4" ht="12.75">
      <c r="A189" s="364">
        <v>7</v>
      </c>
      <c r="B189" s="361" t="s">
        <v>845</v>
      </c>
      <c r="C189" s="361" t="s">
        <v>666</v>
      </c>
      <c r="D189" s="365" t="s">
        <v>336</v>
      </c>
    </row>
    <row r="190" spans="1:4" ht="12.75">
      <c r="A190" s="364">
        <v>7</v>
      </c>
      <c r="B190" s="361" t="s">
        <v>846</v>
      </c>
      <c r="C190" s="361" t="s">
        <v>678</v>
      </c>
      <c r="D190" s="365" t="s">
        <v>336</v>
      </c>
    </row>
    <row r="191" spans="1:4" ht="12.75">
      <c r="A191" s="364">
        <v>7</v>
      </c>
      <c r="B191" s="361" t="s">
        <v>847</v>
      </c>
      <c r="C191" s="361" t="s">
        <v>666</v>
      </c>
      <c r="D191" s="365" t="s">
        <v>336</v>
      </c>
    </row>
    <row r="192" spans="1:4" ht="12.75">
      <c r="A192" s="364">
        <v>7</v>
      </c>
      <c r="B192" s="361" t="s">
        <v>848</v>
      </c>
      <c r="C192" s="361" t="s">
        <v>666</v>
      </c>
      <c r="D192" s="365" t="s">
        <v>336</v>
      </c>
    </row>
    <row r="193" spans="1:4" ht="12.75">
      <c r="A193" s="364">
        <v>7</v>
      </c>
      <c r="B193" s="361" t="s">
        <v>849</v>
      </c>
      <c r="C193" s="361" t="s">
        <v>664</v>
      </c>
      <c r="D193" s="365" t="s">
        <v>336</v>
      </c>
    </row>
    <row r="194" spans="1:4" ht="12.75">
      <c r="A194" s="364">
        <v>7</v>
      </c>
      <c r="B194" s="361" t="s">
        <v>850</v>
      </c>
      <c r="C194" s="361" t="s">
        <v>666</v>
      </c>
      <c r="D194" s="361" t="s">
        <v>693</v>
      </c>
    </row>
    <row r="195" spans="1:4" ht="12.75">
      <c r="A195" s="364">
        <v>7</v>
      </c>
      <c r="B195" s="361" t="s">
        <v>851</v>
      </c>
      <c r="C195" s="361" t="s">
        <v>653</v>
      </c>
      <c r="D195" s="361" t="s">
        <v>656</v>
      </c>
    </row>
    <row r="196" spans="1:4" ht="12.75">
      <c r="A196" s="364">
        <v>7</v>
      </c>
      <c r="B196" s="361" t="s">
        <v>852</v>
      </c>
      <c r="C196" s="361" t="s">
        <v>660</v>
      </c>
      <c r="D196" s="365" t="s">
        <v>336</v>
      </c>
    </row>
    <row r="197" spans="1:4" ht="12.75">
      <c r="A197" s="366">
        <v>7</v>
      </c>
      <c r="B197" s="367" t="s">
        <v>853</v>
      </c>
      <c r="C197" s="367" t="s">
        <v>676</v>
      </c>
      <c r="D197" s="367" t="s">
        <v>854</v>
      </c>
    </row>
    <row r="198" spans="1:4" ht="12.75">
      <c r="A198" s="364">
        <v>8</v>
      </c>
      <c r="B198" s="361" t="s">
        <v>855</v>
      </c>
      <c r="C198" s="361" t="s">
        <v>678</v>
      </c>
      <c r="D198" s="365" t="s">
        <v>336</v>
      </c>
    </row>
    <row r="199" spans="1:4" ht="12.75">
      <c r="A199" s="364">
        <v>8</v>
      </c>
      <c r="B199" s="361" t="s">
        <v>856</v>
      </c>
      <c r="C199" s="361" t="s">
        <v>678</v>
      </c>
      <c r="D199" s="361" t="s">
        <v>857</v>
      </c>
    </row>
    <row r="200" spans="1:4" ht="12.75">
      <c r="A200" s="368">
        <v>8</v>
      </c>
      <c r="B200" s="369" t="s">
        <v>858</v>
      </c>
      <c r="C200" s="369" t="s">
        <v>660</v>
      </c>
      <c r="D200" s="369" t="s">
        <v>671</v>
      </c>
    </row>
    <row r="201" spans="1:4" ht="12.75">
      <c r="A201" s="364">
        <v>8</v>
      </c>
      <c r="B201" s="361" t="s">
        <v>859</v>
      </c>
      <c r="C201" s="361" t="s">
        <v>666</v>
      </c>
      <c r="D201" s="365" t="s">
        <v>336</v>
      </c>
    </row>
    <row r="202" spans="1:4" ht="12.75">
      <c r="A202" s="364">
        <v>8</v>
      </c>
      <c r="B202" s="361" t="s">
        <v>860</v>
      </c>
      <c r="C202" s="361" t="s">
        <v>678</v>
      </c>
      <c r="D202" s="365" t="s">
        <v>336</v>
      </c>
    </row>
    <row r="203" spans="1:4" ht="12.75">
      <c r="A203" s="364">
        <v>8</v>
      </c>
      <c r="B203" s="361" t="s">
        <v>861</v>
      </c>
      <c r="C203" s="361" t="s">
        <v>664</v>
      </c>
      <c r="D203" s="365" t="s">
        <v>336</v>
      </c>
    </row>
    <row r="204" spans="1:4" ht="12.75">
      <c r="A204" s="364">
        <v>8</v>
      </c>
      <c r="B204" s="361" t="s">
        <v>862</v>
      </c>
      <c r="C204" s="361" t="s">
        <v>676</v>
      </c>
      <c r="D204" s="361" t="s">
        <v>752</v>
      </c>
    </row>
    <row r="205" spans="1:4" ht="12.75">
      <c r="A205" s="364">
        <v>8</v>
      </c>
      <c r="B205" s="361" t="s">
        <v>863</v>
      </c>
      <c r="C205" s="361" t="s">
        <v>676</v>
      </c>
      <c r="D205" s="361" t="s">
        <v>864</v>
      </c>
    </row>
    <row r="206" spans="1:4" ht="12.75">
      <c r="A206" s="364">
        <v>8</v>
      </c>
      <c r="B206" s="361" t="s">
        <v>865</v>
      </c>
      <c r="C206" s="361" t="s">
        <v>678</v>
      </c>
      <c r="D206" s="361" t="s">
        <v>659</v>
      </c>
    </row>
    <row r="207" spans="1:4" ht="12.75">
      <c r="A207" s="364">
        <v>8</v>
      </c>
      <c r="B207" s="361" t="s">
        <v>866</v>
      </c>
      <c r="C207" s="361" t="s">
        <v>660</v>
      </c>
      <c r="D207" s="365" t="s">
        <v>336</v>
      </c>
    </row>
    <row r="208" spans="1:4" ht="12.75">
      <c r="A208" s="364">
        <v>8</v>
      </c>
      <c r="B208" s="361" t="s">
        <v>867</v>
      </c>
      <c r="C208" s="361" t="s">
        <v>666</v>
      </c>
      <c r="D208" s="361" t="s">
        <v>693</v>
      </c>
    </row>
    <row r="209" spans="1:4" ht="12.75">
      <c r="A209" s="364">
        <v>8</v>
      </c>
      <c r="B209" s="361" t="s">
        <v>868</v>
      </c>
      <c r="C209" s="361" t="s">
        <v>666</v>
      </c>
      <c r="D209" s="361" t="s">
        <v>693</v>
      </c>
    </row>
    <row r="210" spans="1:4" ht="12.75">
      <c r="A210" s="364">
        <v>8</v>
      </c>
      <c r="B210" s="361" t="s">
        <v>869</v>
      </c>
      <c r="C210" s="361" t="s">
        <v>660</v>
      </c>
      <c r="D210" s="361" t="s">
        <v>800</v>
      </c>
    </row>
    <row r="211" spans="1:4" ht="12.75">
      <c r="A211" s="364">
        <v>8</v>
      </c>
      <c r="B211" s="361" t="s">
        <v>870</v>
      </c>
      <c r="C211" s="361" t="s">
        <v>653</v>
      </c>
      <c r="D211" s="361" t="s">
        <v>656</v>
      </c>
    </row>
    <row r="212" spans="1:4" ht="12.75">
      <c r="A212" s="368">
        <v>8</v>
      </c>
      <c r="B212" s="369" t="s">
        <v>871</v>
      </c>
      <c r="C212" s="369" t="s">
        <v>678</v>
      </c>
      <c r="D212" s="369" t="s">
        <v>671</v>
      </c>
    </row>
    <row r="213" spans="1:4" ht="12.75">
      <c r="A213" s="364">
        <v>9</v>
      </c>
      <c r="B213" s="361" t="s">
        <v>872</v>
      </c>
      <c r="C213" s="361" t="s">
        <v>666</v>
      </c>
      <c r="D213" s="365" t="s">
        <v>336</v>
      </c>
    </row>
    <row r="214" spans="1:4" ht="12.75">
      <c r="A214" s="364">
        <v>9</v>
      </c>
      <c r="B214" s="361" t="s">
        <v>873</v>
      </c>
      <c r="C214" s="361" t="s">
        <v>666</v>
      </c>
      <c r="D214" s="361" t="s">
        <v>693</v>
      </c>
    </row>
  </sheetData>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6"/>
  <sheetViews>
    <sheetView zoomScale="75" zoomScaleNormal="75" workbookViewId="0" topLeftCell="A1">
      <selection activeCell="H40" sqref="H40"/>
    </sheetView>
  </sheetViews>
  <sheetFormatPr defaultColWidth="8.796875" defaultRowHeight="15.75"/>
  <cols>
    <col min="1" max="1" width="5.796875" style="0" customWidth="1"/>
    <col min="2" max="2" width="19.59765625" style="0" customWidth="1"/>
    <col min="3" max="3" width="5.3984375" style="0" customWidth="1"/>
    <col min="4" max="4" width="4.796875" style="382" bestFit="1" customWidth="1"/>
    <col min="5" max="5" width="4.796875" style="382" customWidth="1"/>
    <col min="6" max="6" width="9.19921875" style="9" customWidth="1"/>
    <col min="7" max="7" width="3.69921875" style="382" bestFit="1" customWidth="1"/>
    <col min="8" max="8" width="27" style="0" bestFit="1" customWidth="1"/>
  </cols>
  <sheetData>
    <row r="1" spans="1:9" ht="15.75">
      <c r="A1" s="418" t="s">
        <v>344</v>
      </c>
      <c r="B1" s="419" t="s">
        <v>1043</v>
      </c>
      <c r="C1" s="420" t="s">
        <v>360</v>
      </c>
      <c r="D1" s="421" t="s">
        <v>1062</v>
      </c>
      <c r="E1" s="421" t="s">
        <v>199</v>
      </c>
      <c r="F1" s="422" t="s">
        <v>259</v>
      </c>
      <c r="G1" s="421" t="s">
        <v>170</v>
      </c>
      <c r="H1" s="419" t="s">
        <v>1072</v>
      </c>
      <c r="I1" s="423" t="s">
        <v>1074</v>
      </c>
    </row>
    <row r="2" spans="1:9" ht="15.75">
      <c r="A2" s="424" t="s">
        <v>1044</v>
      </c>
      <c r="B2" s="425" t="s">
        <v>1047</v>
      </c>
      <c r="C2" s="426" t="s">
        <v>1069</v>
      </c>
      <c r="D2" s="427" t="s">
        <v>1071</v>
      </c>
      <c r="E2" s="427">
        <v>6</v>
      </c>
      <c r="F2" s="428" t="s">
        <v>1081</v>
      </c>
      <c r="G2" s="429">
        <v>15</v>
      </c>
      <c r="H2" s="425" t="s">
        <v>1073</v>
      </c>
      <c r="I2" s="430" t="s">
        <v>1075</v>
      </c>
    </row>
    <row r="3" spans="1:9" ht="15.75">
      <c r="A3" s="424" t="s">
        <v>1044</v>
      </c>
      <c r="B3" s="425" t="s">
        <v>1045</v>
      </c>
      <c r="C3" s="426" t="s">
        <v>1063</v>
      </c>
      <c r="D3" s="427" t="s">
        <v>1071</v>
      </c>
      <c r="E3" s="427">
        <v>6</v>
      </c>
      <c r="F3" s="431" t="s">
        <v>1085</v>
      </c>
      <c r="G3" s="429">
        <v>15</v>
      </c>
      <c r="H3" s="425" t="s">
        <v>1076</v>
      </c>
      <c r="I3" s="432" t="s">
        <v>336</v>
      </c>
    </row>
    <row r="4" spans="1:9" ht="15.75">
      <c r="A4" s="424" t="s">
        <v>1044</v>
      </c>
      <c r="B4" s="425" t="s">
        <v>1048</v>
      </c>
      <c r="C4" s="426" t="s">
        <v>1070</v>
      </c>
      <c r="D4" s="427" t="s">
        <v>1083</v>
      </c>
      <c r="E4" s="427">
        <v>4</v>
      </c>
      <c r="F4" s="428" t="s">
        <v>1080</v>
      </c>
      <c r="G4" s="429">
        <v>14</v>
      </c>
      <c r="H4" s="425" t="s">
        <v>1082</v>
      </c>
      <c r="I4" s="432" t="s">
        <v>336</v>
      </c>
    </row>
    <row r="5" spans="1:9" ht="15.75">
      <c r="A5" s="424" t="s">
        <v>1044</v>
      </c>
      <c r="B5" s="425" t="s">
        <v>1046</v>
      </c>
      <c r="C5" s="426" t="s">
        <v>1065</v>
      </c>
      <c r="D5" s="427" t="s">
        <v>1083</v>
      </c>
      <c r="E5" s="427">
        <v>4</v>
      </c>
      <c r="F5" s="428" t="s">
        <v>1084</v>
      </c>
      <c r="G5" s="429">
        <v>17</v>
      </c>
      <c r="H5" s="425" t="s">
        <v>1086</v>
      </c>
      <c r="I5" s="432" t="s">
        <v>336</v>
      </c>
    </row>
    <row r="6" spans="1:9" ht="15.75">
      <c r="A6" s="546" t="s">
        <v>1044</v>
      </c>
      <c r="B6" s="547" t="s">
        <v>1099</v>
      </c>
      <c r="C6" s="548" t="s">
        <v>1068</v>
      </c>
      <c r="D6" s="549" t="s">
        <v>1077</v>
      </c>
      <c r="E6" s="549">
        <v>11</v>
      </c>
      <c r="F6" s="550" t="s">
        <v>1087</v>
      </c>
      <c r="G6" s="551">
        <v>15</v>
      </c>
      <c r="H6" s="547" t="s">
        <v>1088</v>
      </c>
      <c r="I6" s="552" t="s">
        <v>336</v>
      </c>
    </row>
    <row r="7" spans="1:9" ht="15.75">
      <c r="A7" s="424" t="s">
        <v>1044</v>
      </c>
      <c r="B7" s="425" t="s">
        <v>1052</v>
      </c>
      <c r="C7" s="426" t="s">
        <v>1067</v>
      </c>
      <c r="D7" s="427" t="s">
        <v>1083</v>
      </c>
      <c r="E7" s="427">
        <v>4</v>
      </c>
      <c r="F7" s="431" t="s">
        <v>1090</v>
      </c>
      <c r="G7" s="429">
        <v>16</v>
      </c>
      <c r="H7" s="425" t="s">
        <v>1089</v>
      </c>
      <c r="I7" s="432" t="s">
        <v>336</v>
      </c>
    </row>
    <row r="8" spans="1:9" ht="15.75">
      <c r="A8" s="424" t="s">
        <v>1049</v>
      </c>
      <c r="B8" s="425" t="s">
        <v>1053</v>
      </c>
      <c r="C8" s="426" t="s">
        <v>1064</v>
      </c>
      <c r="D8" s="427" t="s">
        <v>1078</v>
      </c>
      <c r="E8" s="427">
        <v>13</v>
      </c>
      <c r="F8" s="431" t="s">
        <v>1085</v>
      </c>
      <c r="G8" s="429">
        <v>16</v>
      </c>
      <c r="H8" s="425" t="s">
        <v>1079</v>
      </c>
      <c r="I8" s="432" t="s">
        <v>336</v>
      </c>
    </row>
    <row r="9" spans="1:9" ht="15.75">
      <c r="A9" s="546" t="s">
        <v>1049</v>
      </c>
      <c r="B9" s="547" t="s">
        <v>1054</v>
      </c>
      <c r="C9" s="548" t="s">
        <v>1064</v>
      </c>
      <c r="D9" s="549" t="s">
        <v>1091</v>
      </c>
      <c r="E9" s="549">
        <v>5</v>
      </c>
      <c r="F9" s="550" t="s">
        <v>1092</v>
      </c>
      <c r="G9" s="551">
        <v>14</v>
      </c>
      <c r="H9" s="547" t="s">
        <v>1093</v>
      </c>
      <c r="I9" s="552" t="s">
        <v>336</v>
      </c>
    </row>
    <row r="10" spans="1:9" ht="15.75">
      <c r="A10" s="424" t="s">
        <v>1049</v>
      </c>
      <c r="B10" s="425" t="s">
        <v>1050</v>
      </c>
      <c r="C10" s="426" t="s">
        <v>1066</v>
      </c>
      <c r="D10" s="427" t="s">
        <v>1094</v>
      </c>
      <c r="E10" s="427">
        <v>13</v>
      </c>
      <c r="F10" s="428" t="s">
        <v>1095</v>
      </c>
      <c r="G10" s="429">
        <v>14</v>
      </c>
      <c r="H10" s="425" t="s">
        <v>1096</v>
      </c>
      <c r="I10" s="430" t="s">
        <v>1097</v>
      </c>
    </row>
    <row r="11" spans="1:9" ht="15.75">
      <c r="A11" s="424" t="s">
        <v>1049</v>
      </c>
      <c r="B11" s="553" t="s">
        <v>1051</v>
      </c>
      <c r="C11" s="554" t="s">
        <v>1066</v>
      </c>
      <c r="D11" s="555" t="s">
        <v>1078</v>
      </c>
      <c r="E11" s="555">
        <v>13</v>
      </c>
      <c r="F11" s="556" t="s">
        <v>1090</v>
      </c>
      <c r="G11" s="557">
        <v>16</v>
      </c>
      <c r="H11" s="553" t="s">
        <v>1076</v>
      </c>
      <c r="I11" s="558" t="s">
        <v>1098</v>
      </c>
    </row>
    <row r="12" spans="1:9" ht="15.75" hidden="1">
      <c r="A12" s="424" t="s">
        <v>1055</v>
      </c>
      <c r="B12" s="425" t="s">
        <v>1100</v>
      </c>
      <c r="C12" s="426" t="s">
        <v>1104</v>
      </c>
      <c r="D12" s="427" t="s">
        <v>1108</v>
      </c>
      <c r="E12" s="427">
        <v>19</v>
      </c>
      <c r="F12" s="431" t="s">
        <v>1085</v>
      </c>
      <c r="G12" s="429">
        <v>13</v>
      </c>
      <c r="H12" s="425" t="s">
        <v>1109</v>
      </c>
      <c r="I12" s="432" t="s">
        <v>336</v>
      </c>
    </row>
    <row r="13" spans="1:9" ht="15.75" hidden="1">
      <c r="A13" s="424" t="s">
        <v>1055</v>
      </c>
      <c r="B13" s="425" t="s">
        <v>1101</v>
      </c>
      <c r="C13" s="426" t="s">
        <v>1104</v>
      </c>
      <c r="D13" s="427" t="s">
        <v>1110</v>
      </c>
      <c r="E13" s="427">
        <v>37</v>
      </c>
      <c r="F13" s="431" t="s">
        <v>1085</v>
      </c>
      <c r="G13" s="429">
        <v>13</v>
      </c>
      <c r="H13" s="425" t="s">
        <v>1111</v>
      </c>
      <c r="I13" s="430" t="s">
        <v>1112</v>
      </c>
    </row>
    <row r="14" spans="1:9" ht="15.75" hidden="1">
      <c r="A14" s="424" t="s">
        <v>1055</v>
      </c>
      <c r="B14" s="425" t="s">
        <v>1102</v>
      </c>
      <c r="C14" s="426" t="s">
        <v>1105</v>
      </c>
      <c r="D14" s="427" t="s">
        <v>1113</v>
      </c>
      <c r="E14" s="427">
        <v>28</v>
      </c>
      <c r="F14" s="428" t="s">
        <v>1081</v>
      </c>
      <c r="G14" s="429">
        <v>16</v>
      </c>
      <c r="H14" s="425" t="s">
        <v>1114</v>
      </c>
      <c r="I14" s="430" t="s">
        <v>1075</v>
      </c>
    </row>
    <row r="15" spans="1:9" ht="15.75" hidden="1">
      <c r="A15" s="424" t="s">
        <v>1055</v>
      </c>
      <c r="B15" s="425" t="s">
        <v>1103</v>
      </c>
      <c r="C15" s="426" t="s">
        <v>1106</v>
      </c>
      <c r="D15" s="427" t="s">
        <v>1115</v>
      </c>
      <c r="E15" s="427">
        <v>25</v>
      </c>
      <c r="F15" s="428" t="s">
        <v>1116</v>
      </c>
      <c r="G15" s="429">
        <v>15</v>
      </c>
      <c r="H15" s="425" t="s">
        <v>1117</v>
      </c>
      <c r="I15" s="432" t="s">
        <v>336</v>
      </c>
    </row>
    <row r="16" spans="1:9" ht="15.75" hidden="1">
      <c r="A16" s="424" t="s">
        <v>1055</v>
      </c>
      <c r="B16" s="425" t="s">
        <v>1118</v>
      </c>
      <c r="C16" s="426" t="s">
        <v>1107</v>
      </c>
      <c r="D16" s="427" t="s">
        <v>1120</v>
      </c>
      <c r="E16" s="427">
        <v>9</v>
      </c>
      <c r="F16" s="428" t="s">
        <v>1121</v>
      </c>
      <c r="G16" s="429">
        <v>17</v>
      </c>
      <c r="H16" s="425" t="s">
        <v>1122</v>
      </c>
      <c r="I16" s="430" t="s">
        <v>1123</v>
      </c>
    </row>
    <row r="17" spans="1:9" ht="15.75" hidden="1">
      <c r="A17" s="424" t="s">
        <v>1055</v>
      </c>
      <c r="B17" s="425" t="s">
        <v>1119</v>
      </c>
      <c r="C17" s="426" t="s">
        <v>1107</v>
      </c>
      <c r="D17" s="427" t="s">
        <v>1077</v>
      </c>
      <c r="E17" s="427">
        <v>11</v>
      </c>
      <c r="F17" s="428" t="s">
        <v>1124</v>
      </c>
      <c r="G17" s="429">
        <v>17</v>
      </c>
      <c r="H17" s="425" t="s">
        <v>1125</v>
      </c>
      <c r="I17" s="430" t="s">
        <v>1126</v>
      </c>
    </row>
    <row r="18" spans="1:9" ht="15.75">
      <c r="A18" s="433"/>
      <c r="B18" s="348"/>
      <c r="C18" s="348"/>
      <c r="D18" s="434"/>
      <c r="E18" s="434"/>
      <c r="F18" s="1"/>
      <c r="G18" s="434"/>
      <c r="H18" s="348"/>
      <c r="I18" s="435"/>
    </row>
    <row r="19" spans="1:9" ht="15.75">
      <c r="A19" s="436" t="s">
        <v>1061</v>
      </c>
      <c r="B19" s="348"/>
      <c r="C19" s="348"/>
      <c r="D19" s="434"/>
      <c r="E19" s="434"/>
      <c r="F19" s="1"/>
      <c r="G19" s="434"/>
      <c r="H19" s="348"/>
      <c r="I19" s="435"/>
    </row>
    <row r="20" spans="1:9" ht="15.75">
      <c r="A20" s="437" t="s">
        <v>56</v>
      </c>
      <c r="B20" s="348"/>
      <c r="C20" s="348"/>
      <c r="D20" s="434"/>
      <c r="E20" s="434"/>
      <c r="F20" s="1"/>
      <c r="G20" s="434"/>
      <c r="H20" s="348"/>
      <c r="I20" s="435"/>
    </row>
    <row r="21" spans="1:9" ht="15.75">
      <c r="A21" s="437" t="s">
        <v>1056</v>
      </c>
      <c r="B21" s="348"/>
      <c r="C21" s="348"/>
      <c r="D21" s="434"/>
      <c r="E21" s="434"/>
      <c r="F21" s="1"/>
      <c r="G21" s="434"/>
      <c r="H21" s="348"/>
      <c r="I21" s="435"/>
    </row>
    <row r="22" spans="1:9" ht="15.75">
      <c r="A22" s="437" t="s">
        <v>1057</v>
      </c>
      <c r="B22" s="348"/>
      <c r="C22" s="348"/>
      <c r="D22" s="434"/>
      <c r="E22" s="434"/>
      <c r="F22" s="1"/>
      <c r="G22" s="434"/>
      <c r="H22" s="348"/>
      <c r="I22" s="435"/>
    </row>
    <row r="23" spans="1:9" ht="15.75">
      <c r="A23" s="437" t="s">
        <v>1058</v>
      </c>
      <c r="B23" s="348"/>
      <c r="C23" s="348"/>
      <c r="D23" s="434"/>
      <c r="E23" s="434"/>
      <c r="F23" s="1"/>
      <c r="G23" s="434"/>
      <c r="H23" s="348"/>
      <c r="I23" s="435"/>
    </row>
    <row r="24" spans="1:9" ht="15.75">
      <c r="A24" s="437" t="s">
        <v>1059</v>
      </c>
      <c r="B24" s="348"/>
      <c r="C24" s="348"/>
      <c r="D24" s="434"/>
      <c r="E24" s="434"/>
      <c r="F24" s="1"/>
      <c r="G24" s="434"/>
      <c r="H24" s="348"/>
      <c r="I24" s="435"/>
    </row>
    <row r="25" spans="1:9" ht="15.75">
      <c r="A25" s="437" t="s">
        <v>57</v>
      </c>
      <c r="B25" s="348"/>
      <c r="C25" s="348"/>
      <c r="D25" s="434"/>
      <c r="E25" s="434"/>
      <c r="F25" s="1"/>
      <c r="G25" s="434"/>
      <c r="H25" s="348"/>
      <c r="I25" s="435"/>
    </row>
    <row r="26" spans="1:9" ht="15.75">
      <c r="A26" s="438" t="s">
        <v>1060</v>
      </c>
      <c r="B26" s="439"/>
      <c r="C26" s="439"/>
      <c r="D26" s="440"/>
      <c r="E26" s="440"/>
      <c r="F26" s="164"/>
      <c r="G26" s="440"/>
      <c r="H26" s="439"/>
      <c r="I26" s="441"/>
    </row>
  </sheetData>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H39"/>
  <sheetViews>
    <sheetView workbookViewId="0" topLeftCell="A1">
      <selection activeCell="C22" sqref="C22"/>
    </sheetView>
  </sheetViews>
  <sheetFormatPr defaultColWidth="8.796875" defaultRowHeight="15.75"/>
  <cols>
    <col min="1" max="1" width="7.09765625" style="361" customWidth="1"/>
    <col min="2" max="2" width="3.8984375" style="361" customWidth="1"/>
    <col min="3" max="3" width="18.3984375" style="361" customWidth="1"/>
    <col min="4" max="4" width="3.796875" style="361" customWidth="1"/>
    <col min="5" max="16384" width="7.09765625" style="361" customWidth="1"/>
  </cols>
  <sheetData>
    <row r="1" spans="1:7" ht="12.75">
      <c r="A1" s="363" t="s">
        <v>529</v>
      </c>
      <c r="B1" s="362" t="s">
        <v>648</v>
      </c>
      <c r="C1" s="363" t="s">
        <v>649</v>
      </c>
      <c r="D1" s="363" t="s">
        <v>874</v>
      </c>
      <c r="E1" s="363" t="s">
        <v>650</v>
      </c>
      <c r="F1" s="363" t="s">
        <v>651</v>
      </c>
      <c r="G1" s="363" t="s">
        <v>875</v>
      </c>
    </row>
    <row r="2" spans="1:8" ht="12.75">
      <c r="A2" s="370" t="s">
        <v>876</v>
      </c>
      <c r="B2" s="370">
        <v>1</v>
      </c>
      <c r="C2" s="370" t="s">
        <v>640</v>
      </c>
      <c r="D2" s="370" t="s">
        <v>877</v>
      </c>
      <c r="E2" s="370" t="s">
        <v>678</v>
      </c>
      <c r="F2" s="371" t="s">
        <v>336</v>
      </c>
      <c r="G2" s="371" t="s">
        <v>336</v>
      </c>
      <c r="H2" s="370"/>
    </row>
    <row r="3" spans="1:8" ht="12.75">
      <c r="A3" s="370" t="s">
        <v>878</v>
      </c>
      <c r="B3" s="370">
        <v>1</v>
      </c>
      <c r="C3" s="370" t="s">
        <v>641</v>
      </c>
      <c r="D3" s="370" t="s">
        <v>877</v>
      </c>
      <c r="E3" s="370" t="s">
        <v>678</v>
      </c>
      <c r="F3" s="371" t="s">
        <v>336</v>
      </c>
      <c r="G3" s="371" t="s">
        <v>336</v>
      </c>
      <c r="H3" s="370"/>
    </row>
    <row r="4" spans="1:8" ht="12.75">
      <c r="A4" s="370" t="s">
        <v>876</v>
      </c>
      <c r="B4" s="370">
        <v>2</v>
      </c>
      <c r="C4" s="370" t="s">
        <v>725</v>
      </c>
      <c r="D4" s="370" t="s">
        <v>877</v>
      </c>
      <c r="E4" s="370" t="s">
        <v>676</v>
      </c>
      <c r="F4" s="370" t="s">
        <v>721</v>
      </c>
      <c r="G4" s="371" t="s">
        <v>336</v>
      </c>
      <c r="H4" s="370"/>
    </row>
    <row r="5" spans="1:8" ht="12.75">
      <c r="A5" s="370" t="s">
        <v>878</v>
      </c>
      <c r="B5" s="370">
        <v>2</v>
      </c>
      <c r="C5" s="370" t="s">
        <v>879</v>
      </c>
      <c r="D5" s="370" t="s">
        <v>877</v>
      </c>
      <c r="E5" s="370" t="s">
        <v>676</v>
      </c>
      <c r="F5" s="370" t="s">
        <v>733</v>
      </c>
      <c r="G5" s="370" t="s">
        <v>880</v>
      </c>
      <c r="H5" s="370"/>
    </row>
    <row r="6" spans="1:8" ht="12.75">
      <c r="A6" s="370" t="s">
        <v>876</v>
      </c>
      <c r="B6" s="370">
        <v>3</v>
      </c>
      <c r="C6" s="370" t="s">
        <v>881</v>
      </c>
      <c r="D6" s="370" t="s">
        <v>877</v>
      </c>
      <c r="E6" s="370" t="s">
        <v>658</v>
      </c>
      <c r="F6" s="371" t="s">
        <v>336</v>
      </c>
      <c r="G6" s="371" t="s">
        <v>336</v>
      </c>
      <c r="H6" s="370"/>
    </row>
    <row r="7" spans="1:8" ht="12.75">
      <c r="A7" s="370" t="s">
        <v>878</v>
      </c>
      <c r="B7" s="370">
        <v>3</v>
      </c>
      <c r="C7" s="370" t="s">
        <v>882</v>
      </c>
      <c r="D7" s="370" t="s">
        <v>877</v>
      </c>
      <c r="E7" s="370" t="s">
        <v>676</v>
      </c>
      <c r="F7" s="370" t="s">
        <v>883</v>
      </c>
      <c r="G7" s="370" t="s">
        <v>884</v>
      </c>
      <c r="H7" s="370"/>
    </row>
    <row r="8" spans="1:8" ht="12.75">
      <c r="A8" s="370" t="s">
        <v>876</v>
      </c>
      <c r="B8" s="370">
        <v>4</v>
      </c>
      <c r="C8" s="370" t="s">
        <v>773</v>
      </c>
      <c r="D8" s="370" t="s">
        <v>877</v>
      </c>
      <c r="E8" s="370" t="s">
        <v>678</v>
      </c>
      <c r="F8" s="371" t="s">
        <v>336</v>
      </c>
      <c r="G8" s="371" t="s">
        <v>336</v>
      </c>
      <c r="H8" s="370"/>
    </row>
    <row r="9" spans="1:8" ht="12.75">
      <c r="A9" s="370" t="s">
        <v>878</v>
      </c>
      <c r="B9" s="370">
        <v>4</v>
      </c>
      <c r="C9" s="370" t="s">
        <v>885</v>
      </c>
      <c r="D9" s="370" t="s">
        <v>877</v>
      </c>
      <c r="E9" s="370" t="s">
        <v>666</v>
      </c>
      <c r="F9" s="370" t="s">
        <v>886</v>
      </c>
      <c r="G9" s="370" t="s">
        <v>887</v>
      </c>
      <c r="H9" s="370"/>
    </row>
    <row r="10" spans="1:8" ht="12.75">
      <c r="A10" s="370" t="s">
        <v>876</v>
      </c>
      <c r="B10" s="370">
        <v>5</v>
      </c>
      <c r="C10" s="370" t="s">
        <v>888</v>
      </c>
      <c r="D10" s="370" t="s">
        <v>877</v>
      </c>
      <c r="E10" s="370" t="s">
        <v>676</v>
      </c>
      <c r="F10" s="370" t="s">
        <v>886</v>
      </c>
      <c r="G10" s="370" t="s">
        <v>889</v>
      </c>
      <c r="H10" s="370"/>
    </row>
    <row r="11" spans="1:8" ht="12.75">
      <c r="A11" s="370" t="s">
        <v>878</v>
      </c>
      <c r="B11" s="370">
        <v>5</v>
      </c>
      <c r="C11" s="370" t="s">
        <v>890</v>
      </c>
      <c r="D11" s="370" t="s">
        <v>877</v>
      </c>
      <c r="E11" s="370" t="s">
        <v>676</v>
      </c>
      <c r="F11" s="370" t="s">
        <v>886</v>
      </c>
      <c r="G11" s="370" t="s">
        <v>891</v>
      </c>
      <c r="H11" s="370"/>
    </row>
    <row r="12" spans="1:8" ht="12.75">
      <c r="A12" s="370" t="s">
        <v>876</v>
      </c>
      <c r="B12" s="370">
        <v>6</v>
      </c>
      <c r="C12" s="370" t="s">
        <v>892</v>
      </c>
      <c r="D12" s="370" t="s">
        <v>877</v>
      </c>
      <c r="E12" s="370" t="s">
        <v>676</v>
      </c>
      <c r="F12" s="370" t="s">
        <v>886</v>
      </c>
      <c r="G12" s="370" t="s">
        <v>893</v>
      </c>
      <c r="H12" s="370"/>
    </row>
    <row r="13" spans="1:8" ht="12.75">
      <c r="A13" s="370" t="s">
        <v>878</v>
      </c>
      <c r="B13" s="370">
        <v>6</v>
      </c>
      <c r="C13" s="370" t="s">
        <v>894</v>
      </c>
      <c r="D13" s="370" t="s">
        <v>877</v>
      </c>
      <c r="E13" s="370" t="s">
        <v>676</v>
      </c>
      <c r="F13" s="370" t="s">
        <v>883</v>
      </c>
      <c r="G13" s="370" t="s">
        <v>895</v>
      </c>
      <c r="H13" s="370"/>
    </row>
    <row r="14" spans="1:8" ht="12.75">
      <c r="A14" s="370" t="s">
        <v>876</v>
      </c>
      <c r="B14" s="370">
        <v>7</v>
      </c>
      <c r="C14" s="370" t="s">
        <v>896</v>
      </c>
      <c r="D14" s="370" t="s">
        <v>897</v>
      </c>
      <c r="E14" s="370" t="s">
        <v>666</v>
      </c>
      <c r="F14" s="371" t="s">
        <v>336</v>
      </c>
      <c r="G14" s="370" t="s">
        <v>898</v>
      </c>
      <c r="H14" s="370"/>
    </row>
    <row r="15" spans="1:8" ht="12.75">
      <c r="A15" s="370" t="s">
        <v>878</v>
      </c>
      <c r="B15" s="370">
        <v>7</v>
      </c>
      <c r="C15" s="370" t="s">
        <v>835</v>
      </c>
      <c r="D15" s="370" t="s">
        <v>877</v>
      </c>
      <c r="E15" s="370" t="s">
        <v>658</v>
      </c>
      <c r="F15" s="371" t="s">
        <v>336</v>
      </c>
      <c r="G15" s="371" t="s">
        <v>336</v>
      </c>
      <c r="H15" s="370"/>
    </row>
    <row r="16" spans="1:8" ht="12.75">
      <c r="A16" s="370" t="s">
        <v>876</v>
      </c>
      <c r="B16" s="370">
        <v>8</v>
      </c>
      <c r="C16" s="370" t="s">
        <v>899</v>
      </c>
      <c r="D16" s="370" t="s">
        <v>897</v>
      </c>
      <c r="E16" s="370" t="s">
        <v>666</v>
      </c>
      <c r="F16" s="370" t="s">
        <v>667</v>
      </c>
      <c r="G16" s="370" t="s">
        <v>900</v>
      </c>
      <c r="H16" s="370"/>
    </row>
    <row r="17" spans="1:8" ht="12.75">
      <c r="A17" s="370" t="s">
        <v>878</v>
      </c>
      <c r="B17" s="370">
        <v>8</v>
      </c>
      <c r="C17" s="370" t="s">
        <v>901</v>
      </c>
      <c r="D17" s="370" t="s">
        <v>877</v>
      </c>
      <c r="E17" s="370" t="s">
        <v>676</v>
      </c>
      <c r="F17" s="370" t="s">
        <v>733</v>
      </c>
      <c r="G17" s="370" t="s">
        <v>902</v>
      </c>
      <c r="H17" s="370"/>
    </row>
    <row r="18" spans="1:8" ht="12.75">
      <c r="A18" s="370" t="s">
        <v>876</v>
      </c>
      <c r="B18" s="370">
        <v>9</v>
      </c>
      <c r="C18" s="370" t="s">
        <v>903</v>
      </c>
      <c r="D18" s="370" t="s">
        <v>877</v>
      </c>
      <c r="E18" s="370" t="s">
        <v>666</v>
      </c>
      <c r="F18" s="370" t="s">
        <v>480</v>
      </c>
      <c r="G18" s="370" t="s">
        <v>904</v>
      </c>
      <c r="H18" s="370"/>
    </row>
    <row r="19" spans="1:8" ht="12.75">
      <c r="A19" s="370" t="s">
        <v>878</v>
      </c>
      <c r="B19" s="370">
        <v>9</v>
      </c>
      <c r="C19" s="370" t="s">
        <v>905</v>
      </c>
      <c r="D19" s="370" t="s">
        <v>877</v>
      </c>
      <c r="E19" s="370" t="s">
        <v>666</v>
      </c>
      <c r="F19" s="371" t="s">
        <v>336</v>
      </c>
      <c r="G19" s="371" t="s">
        <v>336</v>
      </c>
      <c r="H19" s="370"/>
    </row>
    <row r="22" spans="1:7" ht="12.75">
      <c r="A22" s="361" t="s">
        <v>667</v>
      </c>
      <c r="B22" s="361">
        <v>1</v>
      </c>
      <c r="C22" s="361" t="s">
        <v>685</v>
      </c>
      <c r="D22" s="361" t="s">
        <v>877</v>
      </c>
      <c r="E22" s="361" t="s">
        <v>666</v>
      </c>
      <c r="F22" s="365" t="s">
        <v>336</v>
      </c>
      <c r="G22" s="365" t="s">
        <v>336</v>
      </c>
    </row>
    <row r="23" spans="1:7" ht="12.75">
      <c r="A23" s="361" t="s">
        <v>667</v>
      </c>
      <c r="B23" s="361">
        <v>2</v>
      </c>
      <c r="C23" s="361" t="s">
        <v>906</v>
      </c>
      <c r="D23" s="361" t="s">
        <v>877</v>
      </c>
      <c r="E23" s="361" t="s">
        <v>666</v>
      </c>
      <c r="F23" s="365" t="s">
        <v>336</v>
      </c>
      <c r="G23" s="361" t="s">
        <v>880</v>
      </c>
    </row>
    <row r="24" spans="1:7" ht="12.75">
      <c r="A24" s="361" t="s">
        <v>667</v>
      </c>
      <c r="B24" s="361">
        <v>3</v>
      </c>
      <c r="C24" s="361" t="s">
        <v>881</v>
      </c>
      <c r="D24" s="361" t="s">
        <v>877</v>
      </c>
      <c r="E24" s="361" t="s">
        <v>658</v>
      </c>
      <c r="F24" s="365" t="s">
        <v>336</v>
      </c>
      <c r="G24" s="365" t="s">
        <v>336</v>
      </c>
    </row>
    <row r="25" spans="1:7" ht="12.75">
      <c r="A25" s="361" t="s">
        <v>667</v>
      </c>
      <c r="B25" s="361">
        <v>4</v>
      </c>
      <c r="C25" s="361" t="s">
        <v>766</v>
      </c>
      <c r="D25" s="361" t="s">
        <v>877</v>
      </c>
      <c r="E25" s="361" t="s">
        <v>658</v>
      </c>
      <c r="F25" s="361" t="s">
        <v>667</v>
      </c>
      <c r="G25" s="365" t="s">
        <v>336</v>
      </c>
    </row>
    <row r="26" spans="1:7" ht="12.75">
      <c r="A26" s="361" t="s">
        <v>667</v>
      </c>
      <c r="B26" s="361">
        <v>5</v>
      </c>
      <c r="C26" s="361" t="s">
        <v>890</v>
      </c>
      <c r="D26" s="361" t="s">
        <v>877</v>
      </c>
      <c r="E26" s="361" t="s">
        <v>676</v>
      </c>
      <c r="F26" s="361" t="s">
        <v>886</v>
      </c>
      <c r="G26" s="361" t="s">
        <v>891</v>
      </c>
    </row>
    <row r="27" spans="1:7" ht="12.75">
      <c r="A27" s="361" t="s">
        <v>667</v>
      </c>
      <c r="B27" s="361">
        <v>6</v>
      </c>
      <c r="C27" s="361" t="s">
        <v>907</v>
      </c>
      <c r="D27" s="361" t="s">
        <v>877</v>
      </c>
      <c r="E27" s="361" t="s">
        <v>676</v>
      </c>
      <c r="F27" s="361" t="s">
        <v>886</v>
      </c>
      <c r="G27" s="361" t="s">
        <v>908</v>
      </c>
    </row>
    <row r="28" spans="1:7" ht="12.75">
      <c r="A28" s="361" t="s">
        <v>667</v>
      </c>
      <c r="B28" s="361">
        <v>7</v>
      </c>
      <c r="C28" s="361" t="s">
        <v>909</v>
      </c>
      <c r="D28" s="361" t="s">
        <v>877</v>
      </c>
      <c r="E28" s="361" t="s">
        <v>666</v>
      </c>
      <c r="F28" s="361" t="s">
        <v>910</v>
      </c>
      <c r="G28" s="361" t="s">
        <v>893</v>
      </c>
    </row>
    <row r="29" spans="1:7" ht="12.75">
      <c r="A29" s="361" t="s">
        <v>667</v>
      </c>
      <c r="B29" s="361">
        <v>8</v>
      </c>
      <c r="C29" s="361" t="s">
        <v>911</v>
      </c>
      <c r="D29" s="361" t="s">
        <v>877</v>
      </c>
      <c r="E29" s="361" t="s">
        <v>660</v>
      </c>
      <c r="F29" s="365" t="s">
        <v>336</v>
      </c>
      <c r="G29" s="361" t="s">
        <v>912</v>
      </c>
    </row>
    <row r="30" spans="1:7" ht="12.75">
      <c r="A30" s="361" t="s">
        <v>667</v>
      </c>
      <c r="B30" s="361">
        <v>9</v>
      </c>
      <c r="C30" s="361" t="s">
        <v>913</v>
      </c>
      <c r="D30" s="361" t="s">
        <v>877</v>
      </c>
      <c r="E30" s="361" t="s">
        <v>666</v>
      </c>
      <c r="F30" s="361" t="s">
        <v>480</v>
      </c>
      <c r="G30" s="361" t="s">
        <v>904</v>
      </c>
    </row>
    <row r="31" spans="1:7" ht="12.75">
      <c r="A31" s="361" t="s">
        <v>914</v>
      </c>
      <c r="B31" s="361">
        <v>1</v>
      </c>
      <c r="C31" s="372" t="s">
        <v>915</v>
      </c>
      <c r="D31" s="361" t="s">
        <v>897</v>
      </c>
      <c r="E31" s="361" t="s">
        <v>658</v>
      </c>
      <c r="F31" s="365" t="s">
        <v>336</v>
      </c>
      <c r="G31" s="361" t="s">
        <v>916</v>
      </c>
    </row>
    <row r="32" spans="1:7" ht="12.75">
      <c r="A32" s="361" t="s">
        <v>914</v>
      </c>
      <c r="B32" s="361">
        <v>2</v>
      </c>
      <c r="C32" s="372" t="s">
        <v>917</v>
      </c>
      <c r="D32" s="361" t="s">
        <v>897</v>
      </c>
      <c r="E32" s="361" t="s">
        <v>658</v>
      </c>
      <c r="F32" s="365" t="s">
        <v>336</v>
      </c>
      <c r="G32" s="361" t="s">
        <v>880</v>
      </c>
    </row>
    <row r="33" spans="1:7" ht="12.75">
      <c r="A33" s="361" t="s">
        <v>914</v>
      </c>
      <c r="B33" s="361">
        <v>3</v>
      </c>
      <c r="C33" s="372" t="s">
        <v>918</v>
      </c>
      <c r="D33" s="361" t="s">
        <v>897</v>
      </c>
      <c r="E33" s="361" t="s">
        <v>658</v>
      </c>
      <c r="F33" s="365" t="s">
        <v>336</v>
      </c>
      <c r="G33" s="361" t="s">
        <v>919</v>
      </c>
    </row>
    <row r="34" spans="1:7" ht="12.75">
      <c r="A34" s="361" t="s">
        <v>914</v>
      </c>
      <c r="B34" s="361">
        <v>4</v>
      </c>
      <c r="C34" s="361" t="s">
        <v>920</v>
      </c>
      <c r="D34" s="361" t="s">
        <v>897</v>
      </c>
      <c r="E34" s="361" t="s">
        <v>653</v>
      </c>
      <c r="F34" s="361" t="s">
        <v>921</v>
      </c>
      <c r="G34" s="361" t="s">
        <v>922</v>
      </c>
    </row>
    <row r="35" spans="1:7" ht="12.75">
      <c r="A35" s="361" t="s">
        <v>914</v>
      </c>
      <c r="B35" s="361">
        <v>5</v>
      </c>
      <c r="C35" s="361" t="s">
        <v>923</v>
      </c>
      <c r="D35" s="361" t="s">
        <v>877</v>
      </c>
      <c r="E35" s="361" t="s">
        <v>664</v>
      </c>
      <c r="F35" s="365" t="s">
        <v>336</v>
      </c>
      <c r="G35" s="361" t="s">
        <v>924</v>
      </c>
    </row>
    <row r="36" spans="1:7" ht="12.75">
      <c r="A36" s="361" t="s">
        <v>914</v>
      </c>
      <c r="B36" s="361">
        <v>6</v>
      </c>
      <c r="C36" s="373" t="s">
        <v>925</v>
      </c>
      <c r="D36" s="361" t="s">
        <v>897</v>
      </c>
      <c r="E36" s="361" t="s">
        <v>658</v>
      </c>
      <c r="F36" s="361" t="s">
        <v>926</v>
      </c>
      <c r="G36" s="361" t="s">
        <v>908</v>
      </c>
    </row>
    <row r="37" spans="1:7" ht="12.75">
      <c r="A37" s="361" t="s">
        <v>914</v>
      </c>
      <c r="B37" s="361">
        <v>7</v>
      </c>
      <c r="C37" s="372" t="s">
        <v>927</v>
      </c>
      <c r="D37" s="361" t="s">
        <v>897</v>
      </c>
      <c r="E37" s="361" t="s">
        <v>658</v>
      </c>
      <c r="F37" s="365" t="s">
        <v>336</v>
      </c>
      <c r="G37" s="361" t="s">
        <v>902</v>
      </c>
    </row>
    <row r="38" spans="1:7" ht="12.75">
      <c r="A38" s="361" t="s">
        <v>914</v>
      </c>
      <c r="B38" s="361">
        <v>8</v>
      </c>
      <c r="C38" s="361" t="s">
        <v>928</v>
      </c>
      <c r="D38" s="361" t="s">
        <v>897</v>
      </c>
      <c r="E38" s="361" t="s">
        <v>676</v>
      </c>
      <c r="F38" s="361" t="s">
        <v>667</v>
      </c>
      <c r="G38" s="361" t="s">
        <v>929</v>
      </c>
    </row>
    <row r="39" spans="1:7" ht="12.75">
      <c r="A39" s="361" t="s">
        <v>914</v>
      </c>
      <c r="B39" s="361">
        <v>9</v>
      </c>
      <c r="C39" s="361" t="s">
        <v>930</v>
      </c>
      <c r="D39" s="361" t="s">
        <v>877</v>
      </c>
      <c r="E39" s="361" t="s">
        <v>664</v>
      </c>
      <c r="F39" s="365" t="s">
        <v>336</v>
      </c>
      <c r="G39" s="361" t="s">
        <v>931</v>
      </c>
    </row>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Q100"/>
  <sheetViews>
    <sheetView workbookViewId="0" topLeftCell="A40">
      <selection activeCell="C57" sqref="C57"/>
    </sheetView>
  </sheetViews>
  <sheetFormatPr defaultColWidth="8.796875" defaultRowHeight="15.75"/>
  <cols>
    <col min="1" max="1" width="7.09765625" style="361" customWidth="1"/>
    <col min="2" max="2" width="10.3984375" style="361" customWidth="1"/>
    <col min="3" max="3" width="9.59765625" style="361" customWidth="1"/>
    <col min="4" max="16384" width="7.09765625" style="361" customWidth="1"/>
  </cols>
  <sheetData>
    <row r="1" spans="1:6" ht="12.75">
      <c r="A1" s="363" t="s">
        <v>528</v>
      </c>
      <c r="B1" s="361" t="s">
        <v>932</v>
      </c>
      <c r="F1" s="361" t="s">
        <v>933</v>
      </c>
    </row>
    <row r="2" spans="2:9" ht="12.75">
      <c r="B2" s="361" t="s">
        <v>934</v>
      </c>
      <c r="I2" s="361" t="s">
        <v>935</v>
      </c>
    </row>
    <row r="3" ht="12.75">
      <c r="I3" s="361" t="s">
        <v>936</v>
      </c>
    </row>
    <row r="4" spans="1:9" ht="12.75">
      <c r="A4" s="363" t="s">
        <v>937</v>
      </c>
      <c r="B4" s="361" t="s">
        <v>938</v>
      </c>
      <c r="I4" s="361" t="s">
        <v>939</v>
      </c>
    </row>
    <row r="5" spans="2:9" ht="12.75">
      <c r="B5" s="361" t="s">
        <v>527</v>
      </c>
      <c r="C5" s="361" t="s">
        <v>940</v>
      </c>
      <c r="I5" s="361" t="s">
        <v>941</v>
      </c>
    </row>
    <row r="6" spans="2:3" ht="12.75">
      <c r="B6" s="361" t="s">
        <v>942</v>
      </c>
      <c r="C6" s="361" t="s">
        <v>943</v>
      </c>
    </row>
    <row r="8" spans="2:7" ht="12.75">
      <c r="B8" s="361" t="s">
        <v>944</v>
      </c>
      <c r="G8" s="361" t="s">
        <v>337</v>
      </c>
    </row>
    <row r="9" spans="1:8" ht="12.75">
      <c r="A9" s="361" t="s">
        <v>945</v>
      </c>
      <c r="B9" s="361" t="s">
        <v>950</v>
      </c>
      <c r="G9" s="361">
        <v>1</v>
      </c>
      <c r="H9" s="378" t="s">
        <v>948</v>
      </c>
    </row>
    <row r="10" spans="2:8" ht="12.75">
      <c r="B10" s="361" t="s">
        <v>959</v>
      </c>
      <c r="C10" s="361" t="s">
        <v>960</v>
      </c>
      <c r="G10" s="361">
        <v>3</v>
      </c>
      <c r="H10" s="361" t="s">
        <v>951</v>
      </c>
    </row>
    <row r="11" spans="2:8" ht="12.75">
      <c r="B11" s="367" t="s">
        <v>956</v>
      </c>
      <c r="C11" s="367"/>
      <c r="D11" s="367" t="s">
        <v>957</v>
      </c>
      <c r="E11" s="367"/>
      <c r="F11" s="367"/>
      <c r="G11" s="367">
        <v>3</v>
      </c>
      <c r="H11" s="367" t="s">
        <v>948</v>
      </c>
    </row>
    <row r="12" spans="2:12" ht="12.75">
      <c r="B12" s="367" t="s">
        <v>946</v>
      </c>
      <c r="C12" s="367"/>
      <c r="D12" s="374" t="s">
        <v>947</v>
      </c>
      <c r="E12" s="367"/>
      <c r="F12" s="367"/>
      <c r="G12" s="367"/>
      <c r="H12" s="367" t="s">
        <v>948</v>
      </c>
      <c r="I12" s="367" t="s">
        <v>949</v>
      </c>
      <c r="J12" s="367"/>
      <c r="K12" s="367"/>
      <c r="L12" s="367"/>
    </row>
    <row r="13" spans="2:8" ht="12.75">
      <c r="B13" s="361" t="s">
        <v>952</v>
      </c>
      <c r="D13" s="361" t="s">
        <v>953</v>
      </c>
      <c r="H13" s="361" t="s">
        <v>948</v>
      </c>
    </row>
    <row r="14" spans="2:8" ht="12.75">
      <c r="B14" s="361" t="s">
        <v>954</v>
      </c>
      <c r="D14" s="361" t="s">
        <v>955</v>
      </c>
      <c r="H14" s="361" t="s">
        <v>951</v>
      </c>
    </row>
    <row r="16" spans="1:4" ht="12.75">
      <c r="A16" s="361" t="s">
        <v>958</v>
      </c>
      <c r="B16" s="361" t="s">
        <v>961</v>
      </c>
      <c r="D16" s="361" t="s">
        <v>962</v>
      </c>
    </row>
    <row r="17" spans="2:4" ht="12.75">
      <c r="B17" s="361" t="s">
        <v>963</v>
      </c>
      <c r="D17" s="365" t="s">
        <v>964</v>
      </c>
    </row>
    <row r="20" spans="1:5" ht="12.75">
      <c r="A20" s="363" t="s">
        <v>965</v>
      </c>
      <c r="C20" s="361" t="s">
        <v>966</v>
      </c>
      <c r="E20" s="361" t="s">
        <v>967</v>
      </c>
    </row>
    <row r="21" spans="2:5" ht="12.75">
      <c r="B21" s="361" t="s">
        <v>527</v>
      </c>
      <c r="C21" s="361" t="s">
        <v>968</v>
      </c>
      <c r="E21" s="361" t="s">
        <v>969</v>
      </c>
    </row>
    <row r="23" spans="4:11" ht="12.75">
      <c r="D23" s="361">
        <v>1</v>
      </c>
      <c r="E23" s="361">
        <v>2</v>
      </c>
      <c r="F23" s="361">
        <v>3</v>
      </c>
      <c r="G23" s="361">
        <v>4</v>
      </c>
      <c r="H23" s="361">
        <v>5</v>
      </c>
      <c r="I23" s="361">
        <v>6</v>
      </c>
      <c r="J23" s="361">
        <v>7</v>
      </c>
      <c r="K23" s="361">
        <v>8</v>
      </c>
    </row>
    <row r="24" spans="4:11" ht="12.75">
      <c r="D24" s="361">
        <v>4</v>
      </c>
      <c r="E24" s="361">
        <v>5</v>
      </c>
      <c r="F24" s="361">
        <v>6</v>
      </c>
      <c r="G24" s="361">
        <v>7</v>
      </c>
      <c r="H24" s="361">
        <v>8</v>
      </c>
      <c r="I24" s="361">
        <v>9</v>
      </c>
      <c r="J24" s="361">
        <v>10</v>
      </c>
      <c r="K24" s="361">
        <v>11</v>
      </c>
    </row>
    <row r="25" spans="2:11" ht="12.75">
      <c r="B25" s="361" t="s">
        <v>944</v>
      </c>
      <c r="D25" s="375" t="s">
        <v>970</v>
      </c>
      <c r="E25" s="375" t="s">
        <v>971</v>
      </c>
      <c r="F25" s="375" t="s">
        <v>970</v>
      </c>
      <c r="G25" s="375" t="s">
        <v>971</v>
      </c>
      <c r="H25" s="375" t="s">
        <v>970</v>
      </c>
      <c r="I25" s="375" t="s">
        <v>970</v>
      </c>
      <c r="J25" s="375" t="s">
        <v>971</v>
      </c>
      <c r="K25" s="375" t="s">
        <v>970</v>
      </c>
    </row>
    <row r="26" spans="1:13" ht="12.75">
      <c r="A26" s="361" t="s">
        <v>972</v>
      </c>
      <c r="B26" s="361" t="s">
        <v>973</v>
      </c>
      <c r="C26" s="361" t="s">
        <v>974</v>
      </c>
      <c r="D26" s="361">
        <v>3</v>
      </c>
      <c r="E26" s="370">
        <v>2</v>
      </c>
      <c r="F26" s="376"/>
      <c r="G26" s="376"/>
      <c r="H26" s="376"/>
      <c r="I26" s="376"/>
      <c r="J26" s="376"/>
      <c r="K26" s="376"/>
      <c r="L26" s="361" t="s">
        <v>975</v>
      </c>
      <c r="M26" s="361" t="s">
        <v>976</v>
      </c>
    </row>
    <row r="27" spans="2:13" ht="12.75">
      <c r="B27" s="361" t="s">
        <v>308</v>
      </c>
      <c r="C27" s="361" t="s">
        <v>974</v>
      </c>
      <c r="D27" s="361">
        <v>2</v>
      </c>
      <c r="E27" s="361">
        <v>1</v>
      </c>
      <c r="F27" s="361">
        <v>1</v>
      </c>
      <c r="L27" s="361" t="s">
        <v>975</v>
      </c>
      <c r="M27" s="361" t="s">
        <v>977</v>
      </c>
    </row>
    <row r="28" spans="2:13" ht="12.75">
      <c r="B28" s="361" t="s">
        <v>177</v>
      </c>
      <c r="C28" s="361" t="s">
        <v>974</v>
      </c>
      <c r="D28" s="361">
        <v>2</v>
      </c>
      <c r="H28" s="361">
        <v>2</v>
      </c>
      <c r="L28" s="361" t="s">
        <v>970</v>
      </c>
      <c r="M28" s="361" t="s">
        <v>978</v>
      </c>
    </row>
    <row r="29" spans="1:13" ht="12.75">
      <c r="A29" s="361" t="s">
        <v>979</v>
      </c>
      <c r="B29" s="361" t="s">
        <v>542</v>
      </c>
      <c r="C29" s="360">
        <v>5</v>
      </c>
      <c r="D29" s="361">
        <v>4</v>
      </c>
      <c r="E29" s="376"/>
      <c r="F29" s="369">
        <v>1</v>
      </c>
      <c r="G29" s="376"/>
      <c r="H29" s="376"/>
      <c r="L29" s="361" t="s">
        <v>970</v>
      </c>
      <c r="M29" s="365" t="s">
        <v>980</v>
      </c>
    </row>
    <row r="30" spans="2:13" ht="12.75">
      <c r="B30" s="361" t="s">
        <v>544</v>
      </c>
      <c r="C30" s="360">
        <v>5</v>
      </c>
      <c r="D30" s="361">
        <v>3</v>
      </c>
      <c r="E30" s="376"/>
      <c r="F30" s="369">
        <v>2</v>
      </c>
      <c r="G30" s="376"/>
      <c r="H30" s="376"/>
      <c r="L30" s="361" t="s">
        <v>970</v>
      </c>
      <c r="M30" s="361" t="s">
        <v>981</v>
      </c>
    </row>
    <row r="31" spans="2:13" ht="12.75">
      <c r="B31" s="361" t="s">
        <v>982</v>
      </c>
      <c r="C31" s="360">
        <v>5</v>
      </c>
      <c r="D31" s="361">
        <v>1</v>
      </c>
      <c r="E31" s="376"/>
      <c r="F31" s="376"/>
      <c r="G31" s="376"/>
      <c r="H31" s="376">
        <v>1</v>
      </c>
      <c r="I31" s="376">
        <v>1</v>
      </c>
      <c r="K31" s="361">
        <v>1</v>
      </c>
      <c r="L31" s="361" t="s">
        <v>970</v>
      </c>
      <c r="M31" s="361" t="s">
        <v>983</v>
      </c>
    </row>
    <row r="32" spans="1:12" ht="12.75">
      <c r="A32" s="361" t="s">
        <v>984</v>
      </c>
      <c r="B32" s="361" t="s">
        <v>192</v>
      </c>
      <c r="C32" s="360">
        <v>3</v>
      </c>
      <c r="D32" s="361">
        <v>1</v>
      </c>
      <c r="E32" s="376">
        <v>1</v>
      </c>
      <c r="F32" s="376"/>
      <c r="G32" s="376">
        <v>3</v>
      </c>
      <c r="H32" s="376"/>
      <c r="L32" s="361" t="s">
        <v>975</v>
      </c>
    </row>
    <row r="33" spans="2:12" ht="12.75">
      <c r="B33" s="361" t="s">
        <v>545</v>
      </c>
      <c r="C33" s="360">
        <v>3</v>
      </c>
      <c r="D33" s="369">
        <v>3</v>
      </c>
      <c r="E33" s="376"/>
      <c r="F33" s="376"/>
      <c r="G33" s="376"/>
      <c r="H33" s="376"/>
      <c r="L33" s="361" t="s">
        <v>975</v>
      </c>
    </row>
    <row r="34" spans="2:12" ht="12.75">
      <c r="B34" s="361" t="s">
        <v>985</v>
      </c>
      <c r="C34" s="360">
        <v>1</v>
      </c>
      <c r="D34" s="369">
        <v>1</v>
      </c>
      <c r="E34" s="376"/>
      <c r="F34" s="376"/>
      <c r="G34" s="376"/>
      <c r="H34" s="376"/>
      <c r="L34" s="361" t="s">
        <v>975</v>
      </c>
    </row>
    <row r="35" spans="2:12" ht="12.75">
      <c r="B35" s="361" t="s">
        <v>181</v>
      </c>
      <c r="C35" s="360">
        <v>1</v>
      </c>
      <c r="L35" s="361" t="s">
        <v>970</v>
      </c>
    </row>
    <row r="36" ht="12.75">
      <c r="C36" s="360"/>
    </row>
    <row r="37" spans="1:12" ht="12.75">
      <c r="A37" s="361" t="s">
        <v>986</v>
      </c>
      <c r="B37" s="361" t="s">
        <v>174</v>
      </c>
      <c r="C37" s="360">
        <v>1</v>
      </c>
      <c r="L37" s="361" t="s">
        <v>975</v>
      </c>
    </row>
    <row r="38" spans="2:13" ht="12.75">
      <c r="B38" s="361" t="s">
        <v>987</v>
      </c>
      <c r="C38" s="360">
        <v>1</v>
      </c>
      <c r="L38" s="361" t="s">
        <v>970</v>
      </c>
      <c r="M38" s="361" t="s">
        <v>988</v>
      </c>
    </row>
    <row r="39" spans="2:12" ht="12.75">
      <c r="B39" s="361" t="s">
        <v>234</v>
      </c>
      <c r="C39" s="360"/>
      <c r="L39" s="361" t="s">
        <v>971</v>
      </c>
    </row>
    <row r="40" spans="2:12" ht="12.75">
      <c r="B40" s="361" t="s">
        <v>184</v>
      </c>
      <c r="C40" s="360"/>
      <c r="L40" s="361" t="s">
        <v>971</v>
      </c>
    </row>
    <row r="41" spans="2:12" ht="12.75">
      <c r="B41" s="361" t="s">
        <v>191</v>
      </c>
      <c r="L41" s="361" t="s">
        <v>989</v>
      </c>
    </row>
    <row r="42" spans="2:12" ht="12.75">
      <c r="B42" s="361" t="s">
        <v>990</v>
      </c>
      <c r="L42" s="361" t="s">
        <v>989</v>
      </c>
    </row>
    <row r="43" spans="2:12" ht="12.75">
      <c r="B43" s="361" t="s">
        <v>189</v>
      </c>
      <c r="L43" s="361" t="s">
        <v>989</v>
      </c>
    </row>
    <row r="44" spans="4:11" ht="12.75">
      <c r="D44" s="361">
        <f>SUM(D26:D43)</f>
        <v>20</v>
      </c>
      <c r="E44" s="361">
        <f>SUM(E26:E43)</f>
        <v>4</v>
      </c>
      <c r="F44" s="361">
        <f>SUM(F27:F43)</f>
        <v>4</v>
      </c>
      <c r="G44" s="361">
        <f>SUM(G26:G43)</f>
        <v>3</v>
      </c>
      <c r="H44" s="361">
        <f>SUM(H26:H43)</f>
        <v>3</v>
      </c>
      <c r="I44" s="361">
        <f>SUM(I26:I43)</f>
        <v>1</v>
      </c>
      <c r="J44" s="361">
        <f>SUM(J26:J43)</f>
        <v>0</v>
      </c>
      <c r="K44" s="361">
        <f>SUM(K26:K43)</f>
        <v>1</v>
      </c>
    </row>
    <row r="46" ht="12.75">
      <c r="A46" s="361" t="s">
        <v>991</v>
      </c>
    </row>
    <row r="47" spans="1:3" ht="12.75">
      <c r="A47" s="364" t="s">
        <v>527</v>
      </c>
      <c r="B47" s="364" t="s">
        <v>992</v>
      </c>
      <c r="C47" s="364" t="s">
        <v>993</v>
      </c>
    </row>
    <row r="48" spans="1:3" ht="12.75">
      <c r="A48" s="364">
        <v>1</v>
      </c>
      <c r="B48" s="364">
        <v>1</v>
      </c>
      <c r="C48" s="364">
        <v>0</v>
      </c>
    </row>
    <row r="49" spans="1:3" ht="12.75">
      <c r="A49" s="364">
        <v>2</v>
      </c>
      <c r="B49" s="364">
        <v>2</v>
      </c>
      <c r="C49" s="364">
        <v>0</v>
      </c>
    </row>
    <row r="50" spans="1:3" ht="12.75">
      <c r="A50" s="364">
        <v>3</v>
      </c>
      <c r="B50" s="364">
        <v>2</v>
      </c>
      <c r="C50" s="364">
        <v>1</v>
      </c>
    </row>
    <row r="51" spans="1:3" ht="12.75">
      <c r="A51" s="364">
        <v>4</v>
      </c>
      <c r="B51" s="364">
        <v>3</v>
      </c>
      <c r="C51" s="364">
        <v>1</v>
      </c>
    </row>
    <row r="52" spans="1:3" ht="12.75">
      <c r="A52" s="364">
        <v>5</v>
      </c>
      <c r="B52" s="364">
        <v>3</v>
      </c>
      <c r="C52" s="364">
        <v>2</v>
      </c>
    </row>
    <row r="53" spans="1:3" ht="12.75">
      <c r="A53" s="364">
        <v>6</v>
      </c>
      <c r="B53" s="364">
        <v>4</v>
      </c>
      <c r="C53" s="364">
        <v>2</v>
      </c>
    </row>
    <row r="54" spans="1:3" ht="12.75">
      <c r="A54" s="364">
        <v>7</v>
      </c>
      <c r="B54" s="364">
        <v>5</v>
      </c>
      <c r="C54" s="364">
        <v>2</v>
      </c>
    </row>
    <row r="55" spans="1:3" ht="12.75">
      <c r="A55" s="364">
        <v>8</v>
      </c>
      <c r="B55" s="364">
        <v>6</v>
      </c>
      <c r="C55" s="364">
        <v>2</v>
      </c>
    </row>
    <row r="56" ht="12.75">
      <c r="A56" s="361" t="s">
        <v>994</v>
      </c>
    </row>
    <row r="57" spans="1:3" ht="12.75">
      <c r="A57" s="361" t="s">
        <v>937</v>
      </c>
      <c r="B57" s="361" t="s">
        <v>995</v>
      </c>
      <c r="C57" s="361">
        <v>5</v>
      </c>
    </row>
    <row r="58" spans="1:3" ht="12.75">
      <c r="A58" s="361" t="s">
        <v>199</v>
      </c>
      <c r="B58" s="361" t="s">
        <v>996</v>
      </c>
      <c r="C58" s="361">
        <f>4.5*5+5.5*3</f>
        <v>39</v>
      </c>
    </row>
    <row r="59" spans="1:3" ht="12.75">
      <c r="A59" s="361" t="s">
        <v>997</v>
      </c>
      <c r="B59" s="361" t="s">
        <v>998</v>
      </c>
      <c r="C59" s="361">
        <f>20+7*4</f>
        <v>48</v>
      </c>
    </row>
    <row r="60" spans="1:4" ht="12.75">
      <c r="A60" s="361" t="s">
        <v>999</v>
      </c>
      <c r="B60" s="361" t="s">
        <v>1000</v>
      </c>
      <c r="D60" s="361" t="s">
        <v>1001</v>
      </c>
    </row>
    <row r="61" ht="14.25" customHeight="1">
      <c r="A61" s="361" t="s">
        <v>1002</v>
      </c>
    </row>
    <row r="63" ht="12.75">
      <c r="A63" s="363" t="s">
        <v>1003</v>
      </c>
    </row>
    <row r="64" ht="12.75">
      <c r="B64" s="365" t="s">
        <v>1004</v>
      </c>
    </row>
    <row r="65" ht="12.75">
      <c r="B65" s="361" t="s">
        <v>1005</v>
      </c>
    </row>
    <row r="66" ht="12.75">
      <c r="B66" s="361" t="s">
        <v>1006</v>
      </c>
    </row>
    <row r="67" ht="12.75">
      <c r="B67" s="365" t="s">
        <v>1007</v>
      </c>
    </row>
    <row r="68" ht="12.75">
      <c r="B68" s="361" t="s">
        <v>1008</v>
      </c>
    </row>
    <row r="69" ht="12.75">
      <c r="B69" s="361" t="s">
        <v>1009</v>
      </c>
    </row>
    <row r="71" spans="1:3" ht="12.75">
      <c r="A71" s="363" t="s">
        <v>1010</v>
      </c>
      <c r="C71" s="361" t="s">
        <v>1011</v>
      </c>
    </row>
    <row r="72" spans="2:3" ht="12.75">
      <c r="B72" s="361" t="s">
        <v>876</v>
      </c>
      <c r="C72" s="361" t="s">
        <v>1012</v>
      </c>
    </row>
    <row r="73" spans="2:5" ht="12.75">
      <c r="B73" s="361" t="s">
        <v>878</v>
      </c>
      <c r="C73" s="361" t="s">
        <v>1013</v>
      </c>
      <c r="E73" s="361" t="s">
        <v>1014</v>
      </c>
    </row>
    <row r="75" spans="1:4" ht="12.75">
      <c r="A75" s="363" t="s">
        <v>568</v>
      </c>
      <c r="B75" s="361" t="s">
        <v>1015</v>
      </c>
      <c r="C75" s="361" t="s">
        <v>1016</v>
      </c>
      <c r="D75" s="361" t="s">
        <v>1017</v>
      </c>
    </row>
    <row r="77" spans="1:3" ht="12.75">
      <c r="A77" s="363" t="s">
        <v>152</v>
      </c>
      <c r="B77" s="364" t="s">
        <v>527</v>
      </c>
      <c r="C77" s="364"/>
    </row>
    <row r="78" spans="1:5" ht="12.75">
      <c r="A78" s="361" t="s">
        <v>213</v>
      </c>
      <c r="B78" s="361">
        <v>12</v>
      </c>
      <c r="C78" s="365" t="s">
        <v>1018</v>
      </c>
      <c r="E78" s="361" t="s">
        <v>1019</v>
      </c>
    </row>
    <row r="79" spans="1:5" ht="12.75">
      <c r="A79" s="361" t="s">
        <v>210</v>
      </c>
      <c r="B79" s="361">
        <v>16</v>
      </c>
      <c r="C79" s="365" t="s">
        <v>1020</v>
      </c>
      <c r="E79" s="361" t="s">
        <v>1021</v>
      </c>
    </row>
    <row r="80" spans="1:5" ht="12.75">
      <c r="A80" s="361" t="s">
        <v>209</v>
      </c>
      <c r="B80" s="361">
        <v>12</v>
      </c>
      <c r="C80" s="365" t="s">
        <v>1018</v>
      </c>
      <c r="E80" s="361" t="s">
        <v>1022</v>
      </c>
    </row>
    <row r="81" spans="1:5" ht="12.75">
      <c r="A81" s="361" t="s">
        <v>207</v>
      </c>
      <c r="B81" s="361">
        <v>14</v>
      </c>
      <c r="C81" s="365" t="s">
        <v>375</v>
      </c>
      <c r="E81" s="361" t="s">
        <v>1023</v>
      </c>
    </row>
    <row r="82" spans="1:5" ht="12.75">
      <c r="A82" s="361" t="s">
        <v>211</v>
      </c>
      <c r="B82" s="376">
        <v>15</v>
      </c>
      <c r="C82" s="377" t="s">
        <v>1024</v>
      </c>
      <c r="E82" s="361" t="s">
        <v>1025</v>
      </c>
    </row>
    <row r="83" spans="1:11" ht="12.75">
      <c r="A83" s="361" t="s">
        <v>208</v>
      </c>
      <c r="B83" s="376">
        <v>14</v>
      </c>
      <c r="C83" s="377" t="s">
        <v>375</v>
      </c>
      <c r="E83" s="361" t="s">
        <v>1026</v>
      </c>
      <c r="H83" s="376"/>
      <c r="I83" s="376"/>
      <c r="J83" s="376"/>
      <c r="K83" s="376"/>
    </row>
    <row r="86" ht="12.75">
      <c r="A86" s="363" t="s">
        <v>1027</v>
      </c>
    </row>
    <row r="87" ht="12.75">
      <c r="A87" s="361" t="s">
        <v>1028</v>
      </c>
    </row>
    <row r="88" ht="12.75">
      <c r="A88" s="361" t="s">
        <v>1029</v>
      </c>
    </row>
    <row r="90" spans="1:2" ht="12.75">
      <c r="A90" s="361" t="s">
        <v>211</v>
      </c>
      <c r="B90" s="361" t="s">
        <v>1030</v>
      </c>
    </row>
    <row r="91" ht="12.75">
      <c r="B91" s="361" t="s">
        <v>1031</v>
      </c>
    </row>
    <row r="92" ht="12.75">
      <c r="B92" s="361" t="s">
        <v>1032</v>
      </c>
    </row>
    <row r="93" ht="12.75">
      <c r="C93" s="361" t="s">
        <v>1033</v>
      </c>
    </row>
    <row r="94" spans="2:17" ht="12.75">
      <c r="B94" s="361" t="s">
        <v>1039</v>
      </c>
      <c r="H94" s="367" t="s">
        <v>1034</v>
      </c>
      <c r="I94" s="367"/>
      <c r="J94" s="367"/>
      <c r="K94" s="367"/>
      <c r="L94" s="367"/>
      <c r="M94" s="367"/>
      <c r="N94" s="367"/>
      <c r="O94" s="367"/>
      <c r="P94" s="367"/>
      <c r="Q94" s="367"/>
    </row>
    <row r="95" spans="2:17" ht="12.75">
      <c r="B95" s="361" t="s">
        <v>1035</v>
      </c>
      <c r="H95" s="367" t="s">
        <v>1036</v>
      </c>
      <c r="I95" s="367"/>
      <c r="J95" s="367"/>
      <c r="K95" s="367"/>
      <c r="L95" s="367"/>
      <c r="M95" s="367"/>
      <c r="N95" s="367"/>
      <c r="O95" s="367"/>
      <c r="P95" s="367"/>
      <c r="Q95" s="367"/>
    </row>
    <row r="96" spans="8:17" ht="12.75">
      <c r="H96" s="367" t="s">
        <v>1037</v>
      </c>
      <c r="I96" s="367"/>
      <c r="J96" s="367"/>
      <c r="K96" s="367"/>
      <c r="L96" s="367"/>
      <c r="M96" s="367"/>
      <c r="N96" s="367"/>
      <c r="O96" s="367"/>
      <c r="P96" s="367"/>
      <c r="Q96" s="367"/>
    </row>
    <row r="97" spans="1:2" ht="12.75">
      <c r="A97" s="361" t="s">
        <v>208</v>
      </c>
      <c r="B97" s="361" t="s">
        <v>1040</v>
      </c>
    </row>
    <row r="98" ht="12.75">
      <c r="B98" s="361" t="s">
        <v>1041</v>
      </c>
    </row>
    <row r="99" ht="12.75">
      <c r="B99" s="361" t="s">
        <v>1042</v>
      </c>
    </row>
    <row r="100" ht="12.75">
      <c r="B100" s="361" t="s">
        <v>1038</v>
      </c>
    </row>
  </sheetData>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64"/>
  <sheetViews>
    <sheetView zoomScale="75" zoomScaleNormal="75" workbookViewId="0" topLeftCell="A31">
      <selection activeCell="A31" sqref="A31"/>
    </sheetView>
  </sheetViews>
  <sheetFormatPr defaultColWidth="8.796875" defaultRowHeight="15.75"/>
  <cols>
    <col min="1" max="1" width="8.3984375" style="40" customWidth="1"/>
    <col min="2" max="5" width="4.3984375" style="40" customWidth="1"/>
    <col min="6" max="6" width="18.3984375" style="40" customWidth="1"/>
    <col min="7" max="8" width="4.3984375" style="40" customWidth="1"/>
    <col min="9" max="16384" width="10.19921875" style="40" customWidth="1"/>
  </cols>
  <sheetData>
    <row r="1" spans="1:7" ht="15.75">
      <c r="A1" s="41" t="s">
        <v>268</v>
      </c>
      <c r="G1" s="41"/>
    </row>
    <row r="2" spans="1:2" ht="15">
      <c r="A2" s="40" t="s">
        <v>263</v>
      </c>
      <c r="B2" s="40" t="s">
        <v>274</v>
      </c>
    </row>
    <row r="3" spans="2:3" ht="15">
      <c r="B3" s="40" t="s">
        <v>263</v>
      </c>
      <c r="C3" s="40" t="s">
        <v>275</v>
      </c>
    </row>
    <row r="4" ht="15">
      <c r="C4" s="40" t="s">
        <v>264</v>
      </c>
    </row>
    <row r="5" spans="3:4" ht="15">
      <c r="C5" s="40" t="s">
        <v>263</v>
      </c>
      <c r="D5" s="40" t="s">
        <v>276</v>
      </c>
    </row>
    <row r="6" spans="4:5" ht="15">
      <c r="D6" s="40" t="s">
        <v>263</v>
      </c>
      <c r="E6" s="40" t="s">
        <v>277</v>
      </c>
    </row>
    <row r="7" ht="15">
      <c r="E7" s="40" t="s">
        <v>265</v>
      </c>
    </row>
    <row r="8" ht="15">
      <c r="E8" s="40" t="s">
        <v>264</v>
      </c>
    </row>
    <row r="9" spans="4:5" ht="15">
      <c r="D9" s="40" t="s">
        <v>263</v>
      </c>
      <c r="E9" s="40" t="s">
        <v>278</v>
      </c>
    </row>
    <row r="10" ht="15">
      <c r="E10" s="40" t="s">
        <v>266</v>
      </c>
    </row>
    <row r="11" ht="15">
      <c r="E11" s="40" t="s">
        <v>264</v>
      </c>
    </row>
    <row r="12" spans="2:3" ht="15">
      <c r="B12" s="40" t="s">
        <v>263</v>
      </c>
      <c r="C12" s="40" t="s">
        <v>275</v>
      </c>
    </row>
    <row r="13" spans="3:4" ht="15">
      <c r="C13" s="40" t="s">
        <v>263</v>
      </c>
      <c r="D13" s="40" t="s">
        <v>279</v>
      </c>
    </row>
    <row r="14" ht="15">
      <c r="D14" s="40" t="s">
        <v>271</v>
      </c>
    </row>
    <row r="15" ht="15">
      <c r="D15" s="40" t="s">
        <v>264</v>
      </c>
    </row>
    <row r="16" spans="3:4" ht="15">
      <c r="C16" s="40" t="s">
        <v>263</v>
      </c>
      <c r="D16" s="40" t="s">
        <v>276</v>
      </c>
    </row>
    <row r="17" spans="4:5" ht="15">
      <c r="D17" s="40" t="s">
        <v>263</v>
      </c>
      <c r="E17" s="40" t="s">
        <v>280</v>
      </c>
    </row>
    <row r="18" spans="5:6" ht="15">
      <c r="E18" s="40" t="s">
        <v>263</v>
      </c>
      <c r="F18" s="40" t="s">
        <v>277</v>
      </c>
    </row>
    <row r="19" ht="15">
      <c r="F19" s="40" t="s">
        <v>265</v>
      </c>
    </row>
    <row r="20" ht="15">
      <c r="F20" s="40" t="s">
        <v>264</v>
      </c>
    </row>
    <row r="21" spans="5:6" ht="15">
      <c r="E21" s="40" t="s">
        <v>263</v>
      </c>
      <c r="F21" s="40" t="s">
        <v>279</v>
      </c>
    </row>
    <row r="22" ht="15">
      <c r="F22" s="40" t="s">
        <v>271</v>
      </c>
    </row>
    <row r="23" ht="15">
      <c r="F23" s="40" t="s">
        <v>264</v>
      </c>
    </row>
    <row r="24" spans="4:5" ht="15">
      <c r="D24" s="40" t="s">
        <v>263</v>
      </c>
      <c r="E24" s="40" t="s">
        <v>281</v>
      </c>
    </row>
    <row r="25" spans="5:6" ht="15">
      <c r="E25" s="40" t="s">
        <v>263</v>
      </c>
      <c r="F25" s="40" t="s">
        <v>278</v>
      </c>
    </row>
    <row r="26" ht="15">
      <c r="F26" s="40" t="s">
        <v>267</v>
      </c>
    </row>
    <row r="27" ht="15">
      <c r="F27" s="40" t="s">
        <v>264</v>
      </c>
    </row>
    <row r="28" spans="5:6" ht="15">
      <c r="E28" s="40" t="s">
        <v>263</v>
      </c>
      <c r="F28" s="40" t="s">
        <v>279</v>
      </c>
    </row>
    <row r="29" ht="15">
      <c r="F29" s="40" t="s">
        <v>271</v>
      </c>
    </row>
    <row r="30" ht="15">
      <c r="F30" s="40" t="s">
        <v>264</v>
      </c>
    </row>
    <row r="31" ht="15">
      <c r="A31" s="40">
        <f>IF(armor1type="N",IF(totalweight&lt;Lightweight,dexmod,IF(totalweight&lt;Mediumweight,IF(mediummaxdex&lt;dexmod,mediummaxdex,dexmod),IF(heavymaxdex&lt;dexmod,heavymaxdex,dexmod))),IF(totalweight&lt;Lightweight,IF((armor1maxdex+Armor2maxdex)&lt;dexmod,(armor1maxdex+Armor2maxdex),dexmod),IF(totalweight&lt;Mediumweight,IF(mediummaxdex&lt;(armor1maxdex+Armor2maxdex),IF(mediummaxdex&lt;dexmod,mediummaxdex,dexmod),IF((armor1maxdex+Armor2maxdex)&lt;dexmod,(armor1maxdex+Armor2maxdex),dexmod)),IF(heavymaxdex&lt;(armor1maxdex+Armor2maxdex),IF(heavymaxdex&lt;dexmod,heavymaxdex,dexmod),IF((armor1maxdex+Armor2maxdex)&lt;dexmod,(armor1maxdex+Armor2maxdex),dexmod)))))</f>
        <v>3</v>
      </c>
    </row>
    <row r="32" ht="15.75">
      <c r="A32" s="41" t="s">
        <v>272</v>
      </c>
    </row>
    <row r="33" spans="1:2" ht="15">
      <c r="A33" s="40" t="s">
        <v>263</v>
      </c>
      <c r="B33" s="40" t="s">
        <v>297</v>
      </c>
    </row>
    <row r="34" spans="2:3" ht="15">
      <c r="B34" s="40" t="s">
        <v>263</v>
      </c>
      <c r="C34" s="40" t="s">
        <v>298</v>
      </c>
    </row>
    <row r="35" spans="3:11" ht="15">
      <c r="C35" s="40" t="s">
        <v>263</v>
      </c>
      <c r="D35" s="40" t="s">
        <v>286</v>
      </c>
      <c r="G35" s="45"/>
      <c r="H35" s="45"/>
      <c r="I35" s="45"/>
      <c r="J35" s="45"/>
      <c r="K35" s="45"/>
    </row>
    <row r="36" spans="4:11" ht="15">
      <c r="D36" s="40" t="s">
        <v>287</v>
      </c>
      <c r="G36" s="45"/>
      <c r="H36" s="45"/>
      <c r="I36" s="45"/>
      <c r="J36" s="45"/>
      <c r="K36" s="45"/>
    </row>
    <row r="37" spans="4:11" ht="15">
      <c r="D37" s="40" t="s">
        <v>263</v>
      </c>
      <c r="E37" s="40" t="s">
        <v>288</v>
      </c>
      <c r="G37" s="45"/>
      <c r="H37" s="45"/>
      <c r="I37" s="45"/>
      <c r="J37" s="45"/>
      <c r="K37" s="45"/>
    </row>
    <row r="38" spans="5:11" ht="15">
      <c r="E38" s="40" t="s">
        <v>289</v>
      </c>
      <c r="G38" s="45"/>
      <c r="H38" s="45"/>
      <c r="I38" s="45"/>
      <c r="J38" s="45"/>
      <c r="K38" s="45"/>
    </row>
    <row r="39" spans="5:11" ht="15">
      <c r="E39" s="45" t="s">
        <v>290</v>
      </c>
      <c r="G39" s="45"/>
      <c r="H39" s="45"/>
      <c r="I39" s="45"/>
      <c r="J39" s="45"/>
      <c r="K39" s="45"/>
    </row>
    <row r="40" spans="3:11" ht="15">
      <c r="C40" s="40" t="s">
        <v>263</v>
      </c>
      <c r="D40" s="40" t="s">
        <v>286</v>
      </c>
      <c r="G40" s="45"/>
      <c r="H40" s="45"/>
      <c r="I40" s="45"/>
      <c r="J40" s="45"/>
      <c r="K40" s="45"/>
    </row>
    <row r="41" ht="15">
      <c r="D41" s="40" t="s">
        <v>291</v>
      </c>
    </row>
    <row r="42" spans="4:5" ht="15">
      <c r="D42" s="40" t="s">
        <v>263</v>
      </c>
      <c r="E42" s="40" t="s">
        <v>288</v>
      </c>
    </row>
    <row r="43" spans="5:6" ht="15">
      <c r="E43" s="40" t="s">
        <v>263</v>
      </c>
      <c r="F43" s="40" t="s">
        <v>292</v>
      </c>
    </row>
    <row r="44" ht="15">
      <c r="F44" s="40" t="s">
        <v>289</v>
      </c>
    </row>
    <row r="45" ht="15">
      <c r="F45" s="40" t="s">
        <v>299</v>
      </c>
    </row>
    <row r="46" spans="5:6" ht="15">
      <c r="E46" s="40" t="s">
        <v>263</v>
      </c>
      <c r="F46" s="40" t="s">
        <v>293</v>
      </c>
    </row>
    <row r="47" ht="15">
      <c r="F47" s="40" t="s">
        <v>285</v>
      </c>
    </row>
    <row r="48" ht="15">
      <c r="F48" s="40" t="s">
        <v>300</v>
      </c>
    </row>
    <row r="49" spans="2:3" ht="15">
      <c r="B49" s="40" t="s">
        <v>263</v>
      </c>
      <c r="C49" s="40" t="s">
        <v>286</v>
      </c>
    </row>
    <row r="50" ht="15">
      <c r="C50" s="40" t="s">
        <v>294</v>
      </c>
    </row>
    <row r="51" spans="3:4" ht="15">
      <c r="C51" s="40" t="s">
        <v>263</v>
      </c>
      <c r="D51" s="40" t="s">
        <v>288</v>
      </c>
    </row>
    <row r="52" spans="4:5" ht="15">
      <c r="D52" s="40" t="s">
        <v>263</v>
      </c>
      <c r="E52" s="40" t="s">
        <v>295</v>
      </c>
    </row>
    <row r="53" ht="15">
      <c r="E53" s="40" t="s">
        <v>302</v>
      </c>
    </row>
    <row r="54" ht="15">
      <c r="E54" s="40" t="s">
        <v>301</v>
      </c>
    </row>
    <row r="55" spans="4:5" ht="15">
      <c r="D55" s="40" t="s">
        <v>263</v>
      </c>
      <c r="E55" s="40" t="s">
        <v>296</v>
      </c>
    </row>
    <row r="56" ht="15">
      <c r="E56" s="40" t="s">
        <v>304</v>
      </c>
    </row>
    <row r="57" ht="15">
      <c r="E57" s="40" t="s">
        <v>303</v>
      </c>
    </row>
    <row r="58" ht="15">
      <c r="A58" s="40" t="e">
        <f>IF(armor1type=N,IF(armor2type=N,IF(totalweight&lt;Lightweight,0,IF(totalweight&lt;Mediumweight,mediumcheckpen,heavycheckpen)),IF(totalweight&lt;Lightweight,Armor2checkpen,IF(totalweight&lt;Mediumweight,IF(mediumcheckpen&lt;Armor2checkpen,Armor2checkpen,mediumcheckpen),IF(heavycheckpen&lt;Armor2checkpen,Armor2checkpen,heavycheckpen)))),IF(totalweight&lt;Lightweight,(Armor1checkpen+Armor2checkpen),IF(totalweight&lt;Mediumweight,IF(mediumcheckpen&lt;(Armor1checkpen+Armor2checkpen),(Armor1checkpen+Armor2checkpen),mediumcheckpen),IF(heavycheckpen&lt;(Armor1checkpen+Armor2checkpen),(Armor1checkpen+Armor2checkpen),heavycheckpen))))</f>
        <v>#NAME?</v>
      </c>
    </row>
    <row r="64" ht="15">
      <c r="B64" s="40" t="s">
        <v>284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torkaj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Torleik Ravn</dc:creator>
  <cp:keywords/>
  <dc:description/>
  <cp:lastModifiedBy>Øjvind</cp:lastModifiedBy>
  <cp:lastPrinted>2008-10-02T11:56:58Z</cp:lastPrinted>
  <dcterms:created xsi:type="dcterms:W3CDTF">2003-04-05T08:35:27Z</dcterms:created>
  <dcterms:modified xsi:type="dcterms:W3CDTF">2008-10-03T20:47:56Z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ies>
</file>